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2915" windowHeight="13230" activeTab="0"/>
  </bookViews>
  <sheets>
    <sheet name="説明" sheetId="1" r:id="rId1"/>
    <sheet name="実用例と検算" sheetId="2" r:id="rId2"/>
    <sheet name="改版履歴" sheetId="3" r:id="rId3"/>
  </sheets>
  <definedNames>
    <definedName name="_xlnm.Print_Area" localSheetId="0">'説明'!$A$1:$AG$35</definedName>
  </definedNames>
  <calcPr fullCalcOnLoad="1"/>
</workbook>
</file>

<file path=xl/sharedStrings.xml><?xml version="1.0" encoding="utf-8"?>
<sst xmlns="http://schemas.openxmlformats.org/spreadsheetml/2006/main" count="159" uniqueCount="118">
  <si>
    <t>4060000000000000</t>
  </si>
  <si>
    <t>C0F000029F16B11C</t>
  </si>
  <si>
    <t>C0F00001F9ADD374</t>
  </si>
  <si>
    <t>3FE60333FC86CEBC</t>
  </si>
  <si>
    <t>4056833333333333</t>
  </si>
  <si>
    <t>405DFADAB9F559B4</t>
  </si>
  <si>
    <t>4057A7645A1CAC08</t>
  </si>
  <si>
    <t>41F9DFCED9100000</t>
  </si>
  <si>
    <t>41D41B4E1C000000</t>
  </si>
  <si>
    <t>A</t>
  </si>
  <si>
    <t>B</t>
  </si>
  <si>
    <t>C</t>
  </si>
  <si>
    <t>D</t>
  </si>
  <si>
    <t>E</t>
  </si>
  <si>
    <t>F</t>
  </si>
  <si>
    <t>0000</t>
  </si>
  <si>
    <t>0001</t>
  </si>
  <si>
    <t>0010</t>
  </si>
  <si>
    <t>0011</t>
  </si>
  <si>
    <t>0100</t>
  </si>
  <si>
    <t>0101</t>
  </si>
  <si>
    <t>0110</t>
  </si>
  <si>
    <t>0111</t>
  </si>
  <si>
    <t>1000</t>
  </si>
  <si>
    <t>1001</t>
  </si>
  <si>
    <t>1011</t>
  </si>
  <si>
    <t>1010</t>
  </si>
  <si>
    <t>1100</t>
  </si>
  <si>
    <t>1101</t>
  </si>
  <si>
    <t>1110</t>
  </si>
  <si>
    <t>1111</t>
  </si>
  <si>
    <t>0</t>
  </si>
  <si>
    <t>1</t>
  </si>
  <si>
    <t>2</t>
  </si>
  <si>
    <t>3</t>
  </si>
  <si>
    <t>4</t>
  </si>
  <si>
    <t>5</t>
  </si>
  <si>
    <t>6</t>
  </si>
  <si>
    <t>7</t>
  </si>
  <si>
    <t>8</t>
  </si>
  <si>
    <t>9</t>
  </si>
  <si>
    <t>符号部</t>
  </si>
  <si>
    <t>指数部</t>
  </si>
  <si>
    <t>仮数部</t>
  </si>
  <si>
    <t>指数部解</t>
  </si>
  <si>
    <t>仮数部解</t>
  </si>
  <si>
    <t>結果</t>
  </si>
  <si>
    <t>↓数値を入力</t>
  </si>
  <si>
    <t>2進数</t>
  </si>
  <si>
    <t>C132D687E3D70A3D</t>
  </si>
  <si>
    <t>↓16進数を結合（↑を使用せずにMID＋VLOOLUPで構成）</t>
  </si>
  <si>
    <t>↓16進数を2進数に変換（→の表からVLOOKUP　※この項は説明のために設置したため実際は不要）</t>
  </si>
  <si>
    <t>※以下実際に必要なところのみ抜き出し</t>
  </si>
  <si>
    <t>作者情報：</t>
  </si>
  <si>
    <t>Sakura87</t>
  </si>
  <si>
    <t>http://sakura87.net/</t>
  </si>
  <si>
    <t>←計算式が長すぎるので分割して計算</t>
  </si>
  <si>
    <t>←上の計算をまとめる。</t>
  </si>
  <si>
    <t>←すべてを計算する。</t>
  </si>
  <si>
    <t>ちなみにこのシートはExcelにて16進数の倍精度浮動小数点数を10進数に変換する目的で作成されました。</t>
  </si>
  <si>
    <t>整数値の場合は分析ツールをインストール（ツール→アドイン→分析ツール）することで、HEX2DEC関数を使うことができます。</t>
  </si>
  <si>
    <t>例：</t>
  </si>
  <si>
    <t>1E240</t>
  </si>
  <si>
    <t>※インストール時にExcelのCDを要求されることがあります。</t>
  </si>
  <si>
    <t>もし分析ツールを有効にしている場合は2進数変換はこのように行うことで→の表は不要となります。</t>
  </si>
  <si>
    <t>=HEX2BIN(MID($B$2,1,1),4)&amp;HEX2BIN(MID($B$2,2,1),4)&amp;HEX2BIN(MID($B$2,3,1),4)&amp;HEX2BIN(MID($B$2,4,1),4)&amp;HEX2BIN(MID($B$2,5,1),4)&amp;HEX2BIN(MID($B$2,6,1),4)&amp;HEX2BIN(MID($B$2,7,1),4)&amp;HEX2BIN(MID($B$2,8,1),4)&amp;HEX2BIN(MID($B$2,9,1),4)&amp;HEX2BIN(MID($B$2,10,1),4)&amp;HEX2BIN(MID($B$2,11,1),4)&amp;HEX2BIN(MID($B$2,12,1),4)&amp;HEX2BIN(MID($B$2,13,1),4)&amp;HEX2BIN(MID($B$2,14,1),4)&amp;HEX2BIN(MID($B$2,15,1),4)&amp;HEX2BIN(MID($B$2,16,1),4)</t>
  </si>
  <si>
    <t>入力した10進数値</t>
  </si>
  <si>
    <t>16進数値</t>
  </si>
  <si>
    <t>2進数値</t>
  </si>
  <si>
    <t>指数分計算</t>
  </si>
  <si>
    <t>仮数部計算</t>
  </si>
  <si>
    <t>実際に使用する場合はこの太線の部分を非表示にするといいかもしれません。</t>
  </si>
  <si>
    <t>差（入力－結果）</t>
  </si>
  <si>
    <t>400921FB54524550</t>
  </si>
  <si>
    <t>0</t>
  </si>
  <si>
    <t>0000</t>
  </si>
  <si>
    <t>40934A456D5CFAAD</t>
  </si>
  <si>
    <t>1</t>
  </si>
  <si>
    <t>0001</t>
  </si>
  <si>
    <t>2</t>
  </si>
  <si>
    <t>0010</t>
  </si>
  <si>
    <t>3</t>
  </si>
  <si>
    <t>0011</t>
  </si>
  <si>
    <t>4</t>
  </si>
  <si>
    <t>0100</t>
  </si>
  <si>
    <t>5</t>
  </si>
  <si>
    <t>0101</t>
  </si>
  <si>
    <t>6</t>
  </si>
  <si>
    <t>0110</t>
  </si>
  <si>
    <t>7</t>
  </si>
  <si>
    <t>0111</t>
  </si>
  <si>
    <t>8</t>
  </si>
  <si>
    <t>1000</t>
  </si>
  <si>
    <t>9</t>
  </si>
  <si>
    <t>1001</t>
  </si>
  <si>
    <t>A</t>
  </si>
  <si>
    <t>1010</t>
  </si>
  <si>
    <t>B</t>
  </si>
  <si>
    <t>1011</t>
  </si>
  <si>
    <t>3FBEEEA358AC8BDC</t>
  </si>
  <si>
    <t>C</t>
  </si>
  <si>
    <t>1100</t>
  </si>
  <si>
    <t>D</t>
  </si>
  <si>
    <t>1101</t>
  </si>
  <si>
    <t>E</t>
  </si>
  <si>
    <t>1110</t>
  </si>
  <si>
    <t>F</t>
  </si>
  <si>
    <t>1111</t>
  </si>
  <si>
    <t>41733029F295E9E2</t>
  </si>
  <si>
    <t>4090000000000000</t>
  </si>
  <si>
    <t>BFF3C0CA2A5B1D5D</t>
  </si>
  <si>
    <t>↑物によっては指数表示になる場合があるので書式設定で「文字列」を選択しておく。</t>
  </si>
  <si>
    <t>VLOOKUP用表</t>
  </si>
  <si>
    <t>初版</t>
  </si>
  <si>
    <t>日付</t>
  </si>
  <si>
    <t>理由</t>
  </si>
  <si>
    <t>↓2進数を分割（※この項は確認のため設置したため実際は不要）</t>
  </si>
  <si>
    <t>↓2進数を計算（※この項は確認のため設置したため実際は不要）</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</si>
</sst>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0000000_ "/>
    <numFmt numFmtId="179" formatCode="0.000_ "/>
    <numFmt numFmtId="180" formatCode="0.00_ "/>
    <numFmt numFmtId="181" formatCode="0.0000_ "/>
    <numFmt numFmtId="182" formatCode="0.00000_ "/>
    <numFmt numFmtId="183" formatCode="0.000000_ "/>
    <numFmt numFmtId="184" formatCode="0.0000000_ "/>
    <numFmt numFmtId="185" formatCode="0.00000000_ "/>
    <numFmt numFmtId="186" formatCode="0.0000000000_ "/>
    <numFmt numFmtId="187" formatCode="0.00000000000_ "/>
    <numFmt numFmtId="188" formatCode="0.000000000000_ "/>
    <numFmt numFmtId="189" formatCode="0.0000000000000_ "/>
    <numFmt numFmtId="190" formatCode="0.00000000000000_ "/>
  </numFmts>
  <fonts count="8">
    <font>
      <sz val="11"/>
      <name val="ＭＳ Ｐゴシック"/>
      <family val="3"/>
    </font>
    <font>
      <sz val="11"/>
      <name val="ＭＳ ゴシック"/>
      <family val="3"/>
    </font>
    <font>
      <sz val="6"/>
      <name val="ＭＳ Ｐゴシック"/>
      <family val="3"/>
    </font>
    <font>
      <sz val="11"/>
      <color indexed="23"/>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color indexed="10"/>
      <name val="ＭＳ Ｐゴシック"/>
      <family val="3"/>
    </font>
  </fonts>
  <fills count="3">
    <fill>
      <patternFill/>
    </fill>
    <fill>
      <patternFill patternType="gray125"/>
    </fill>
    <fill>
      <patternFill patternType="solid">
        <fgColor indexed="13"/>
        <bgColor indexed="64"/>
      </patternFill>
    </fill>
  </fills>
  <borders count="19">
    <border>
      <left/>
      <right/>
      <top/>
      <bottom/>
      <diagonal/>
    </border>
    <border>
      <left style="thin"/>
      <right style="thin"/>
      <top style="thin"/>
      <bottom style="thin"/>
    </border>
    <border>
      <left style="thin">
        <color indexed="55"/>
      </left>
      <right style="thin">
        <color indexed="55"/>
      </right>
      <top style="thin">
        <color indexed="55"/>
      </top>
      <bottom style="thin">
        <color indexed="55"/>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color indexed="23"/>
      </left>
      <right style="thin">
        <color indexed="23"/>
      </right>
      <top style="thin">
        <color indexed="23"/>
      </top>
      <bottom style="thin">
        <color indexed="23"/>
      </bottom>
    </border>
    <border>
      <left>
        <color indexed="63"/>
      </left>
      <right>
        <color indexed="63"/>
      </right>
      <top>
        <color indexed="63"/>
      </top>
      <bottom style="medium"/>
    </border>
    <border>
      <left style="dashed"/>
      <right>
        <color indexed="63"/>
      </right>
      <top>
        <color indexed="63"/>
      </top>
      <bottom style="medium"/>
    </border>
    <border>
      <left style="dashed"/>
      <right>
        <color indexed="63"/>
      </right>
      <top>
        <color indexed="63"/>
      </top>
      <bottom>
        <color indexed="63"/>
      </bottom>
    </border>
    <border>
      <left style="thin"/>
      <right style="thin"/>
      <top>
        <color indexed="63"/>
      </top>
      <bottom style="thin"/>
    </border>
    <border>
      <left style="medium"/>
      <right style="hair"/>
      <top style="medium"/>
      <bottom style="medium"/>
    </border>
    <border>
      <left style="hair"/>
      <right style="hair"/>
      <top style="medium"/>
      <bottom style="medium"/>
    </border>
    <border>
      <left style="medium"/>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color indexed="63"/>
      </left>
      <right>
        <color indexed="63"/>
      </right>
      <top style="thin"/>
      <bottom>
        <color indexed="63"/>
      </bottom>
    </border>
    <border>
      <left style="hair"/>
      <right style="medium"/>
      <top style="medium"/>
      <bottom style="medium"/>
    </border>
    <border>
      <left>
        <color indexed="63"/>
      </left>
      <right style="medium"/>
      <top>
        <color indexed="63"/>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59">
    <xf numFmtId="0" fontId="0" fillId="0" borderId="0" xfId="0" applyAlignment="1">
      <alignment vertical="center"/>
    </xf>
    <xf numFmtId="0" fontId="1" fillId="0" borderId="0" xfId="0" applyFont="1" applyAlignment="1">
      <alignment vertical="center"/>
    </xf>
    <xf numFmtId="49" fontId="0" fillId="0" borderId="0" xfId="0" applyNumberFormat="1" applyAlignment="1">
      <alignment vertical="center"/>
    </xf>
    <xf numFmtId="0" fontId="0" fillId="0" borderId="0" xfId="0" applyAlignment="1">
      <alignment vertical="center"/>
    </xf>
    <xf numFmtId="0" fontId="0" fillId="0" borderId="1" xfId="0" applyBorder="1" applyAlignment="1">
      <alignment vertical="center"/>
    </xf>
    <xf numFmtId="49" fontId="0" fillId="0" borderId="1" xfId="0" applyNumberFormat="1" applyBorder="1" applyAlignment="1">
      <alignment horizontal="center" vertical="center"/>
    </xf>
    <xf numFmtId="49" fontId="0" fillId="0" borderId="1" xfId="0" applyNumberFormat="1" applyBorder="1" applyAlignment="1">
      <alignment vertical="center"/>
    </xf>
    <xf numFmtId="0" fontId="0" fillId="0" borderId="0" xfId="0" applyBorder="1" applyAlignment="1">
      <alignment vertical="center" shrinkToFit="1"/>
    </xf>
    <xf numFmtId="0" fontId="3" fillId="0" borderId="0" xfId="0" applyFont="1" applyAlignment="1">
      <alignment vertical="center"/>
    </xf>
    <xf numFmtId="0" fontId="3" fillId="0" borderId="0" xfId="0" applyFont="1" applyBorder="1" applyAlignment="1">
      <alignment vertical="center" shrinkToFit="1"/>
    </xf>
    <xf numFmtId="49" fontId="3" fillId="0" borderId="2" xfId="0" applyNumberFormat="1" applyFont="1" applyBorder="1" applyAlignment="1">
      <alignment vertical="center" shrinkToFit="1"/>
    </xf>
    <xf numFmtId="0" fontId="3" fillId="0" borderId="2" xfId="0" applyFont="1" applyBorder="1" applyAlignment="1">
      <alignment vertical="center" shrinkToFit="1"/>
    </xf>
    <xf numFmtId="49" fontId="3" fillId="0" borderId="0" xfId="0" applyNumberFormat="1" applyFont="1" applyAlignment="1">
      <alignment vertical="center"/>
    </xf>
    <xf numFmtId="0" fontId="3" fillId="0" borderId="0" xfId="0" applyFont="1" applyAlignment="1">
      <alignment vertical="center" shrinkToFit="1"/>
    </xf>
    <xf numFmtId="49" fontId="3" fillId="0" borderId="0" xfId="0" applyNumberFormat="1" applyFont="1" applyAlignment="1">
      <alignment vertical="center" shrinkToFit="1"/>
    </xf>
    <xf numFmtId="49" fontId="0" fillId="2" borderId="3" xfId="0" applyNumberFormat="1" applyFill="1" applyBorder="1" applyAlignment="1">
      <alignment vertical="center"/>
    </xf>
    <xf numFmtId="49" fontId="0" fillId="2" borderId="4" xfId="0" applyNumberFormat="1" applyFill="1" applyBorder="1" applyAlignment="1">
      <alignment vertical="center"/>
    </xf>
    <xf numFmtId="0" fontId="1" fillId="2" borderId="5" xfId="0" applyFont="1" applyFill="1" applyBorder="1" applyAlignment="1">
      <alignment vertical="center"/>
    </xf>
    <xf numFmtId="0" fontId="4" fillId="0" borderId="0" xfId="16" applyAlignment="1">
      <alignment vertical="center"/>
    </xf>
    <xf numFmtId="0" fontId="0" fillId="0" borderId="0" xfId="0" applyNumberFormat="1" applyAlignment="1">
      <alignment vertical="center"/>
    </xf>
    <xf numFmtId="0" fontId="3" fillId="0" borderId="6" xfId="0" applyFont="1" applyBorder="1" applyAlignment="1">
      <alignment vertical="center"/>
    </xf>
    <xf numFmtId="0" fontId="3" fillId="0" borderId="6" xfId="0" applyFont="1" applyBorder="1" applyAlignment="1">
      <alignment vertical="center" shrinkToFit="1"/>
    </xf>
    <xf numFmtId="49" fontId="0" fillId="0" borderId="0" xfId="0" applyNumberFormat="1" applyBorder="1" applyAlignment="1">
      <alignment vertical="center"/>
    </xf>
    <xf numFmtId="0" fontId="7" fillId="0" borderId="0" xfId="0" applyFont="1" applyAlignment="1">
      <alignment vertical="center"/>
    </xf>
    <xf numFmtId="0" fontId="0" fillId="0" borderId="0" xfId="0" applyAlignment="1">
      <alignment horizontal="center" vertical="center"/>
    </xf>
    <xf numFmtId="49" fontId="1" fillId="0" borderId="1" xfId="0" applyNumberFormat="1" applyFont="1" applyBorder="1" applyAlignment="1">
      <alignment horizontal="center" vertical="center"/>
    </xf>
    <xf numFmtId="49" fontId="1" fillId="0" borderId="1" xfId="0" applyNumberFormat="1" applyFont="1" applyBorder="1" applyAlignment="1">
      <alignment vertical="center"/>
    </xf>
    <xf numFmtId="187" fontId="1" fillId="0" borderId="0" xfId="0" applyNumberFormat="1" applyFont="1" applyBorder="1" applyAlignment="1">
      <alignment vertical="center"/>
    </xf>
    <xf numFmtId="0" fontId="1" fillId="0" borderId="7" xfId="0" applyFont="1" applyBorder="1" applyAlignment="1">
      <alignment horizontal="center" vertical="center"/>
    </xf>
    <xf numFmtId="49" fontId="1" fillId="0" borderId="0" xfId="0" applyNumberFormat="1" applyFont="1" applyAlignment="1">
      <alignment vertical="center"/>
    </xf>
    <xf numFmtId="0" fontId="1" fillId="0" borderId="8" xfId="0" applyFont="1" applyBorder="1" applyAlignment="1">
      <alignment horizontal="center" vertical="center"/>
    </xf>
    <xf numFmtId="187" fontId="1" fillId="0" borderId="9" xfId="0" applyNumberFormat="1" applyFont="1" applyBorder="1" applyAlignment="1">
      <alignment horizontal="right" vertical="center"/>
    </xf>
    <xf numFmtId="0" fontId="1" fillId="0" borderId="9" xfId="0" applyFont="1" applyBorder="1" applyAlignment="1">
      <alignment vertical="center"/>
    </xf>
    <xf numFmtId="49" fontId="1" fillId="0" borderId="10" xfId="0" applyNumberFormat="1" applyFont="1" applyBorder="1" applyAlignment="1">
      <alignment horizontal="center" vertical="center"/>
    </xf>
    <xf numFmtId="49" fontId="1" fillId="0" borderId="10" xfId="0" applyNumberFormat="1" applyFont="1" applyBorder="1" applyAlignment="1">
      <alignment vertical="center"/>
    </xf>
    <xf numFmtId="0" fontId="1" fillId="0" borderId="8" xfId="0" applyFont="1" applyFill="1" applyBorder="1" applyAlignment="1">
      <alignment horizontal="center" vertical="center"/>
    </xf>
    <xf numFmtId="187" fontId="1" fillId="0" borderId="9" xfId="0" applyNumberFormat="1" applyFont="1" applyBorder="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14" fontId="0" fillId="0" borderId="0" xfId="0" applyNumberFormat="1" applyAlignment="1">
      <alignment vertical="center"/>
    </xf>
    <xf numFmtId="177" fontId="6" fillId="0" borderId="16" xfId="0" applyNumberFormat="1" applyFont="1" applyBorder="1" applyAlignment="1">
      <alignment vertical="top" wrapText="1"/>
    </xf>
    <xf numFmtId="177" fontId="6" fillId="0" borderId="0" xfId="0" applyNumberFormat="1" applyFont="1" applyBorder="1" applyAlignment="1">
      <alignment vertical="top" wrapText="1"/>
    </xf>
    <xf numFmtId="0" fontId="0" fillId="0" borderId="1" xfId="0" applyBorder="1" applyAlignment="1">
      <alignment horizontal="center" vertical="center"/>
    </xf>
    <xf numFmtId="49" fontId="0" fillId="0" borderId="1" xfId="0" applyNumberFormat="1" applyBorder="1" applyAlignment="1">
      <alignment horizontal="left" vertical="center"/>
    </xf>
    <xf numFmtId="0" fontId="0" fillId="0" borderId="1" xfId="0" applyNumberFormat="1" applyBorder="1" applyAlignment="1">
      <alignment horizontal="left" vertical="center"/>
    </xf>
    <xf numFmtId="0" fontId="3" fillId="0" borderId="6" xfId="0" applyFont="1" applyBorder="1" applyAlignment="1">
      <alignment horizontal="center" vertical="center"/>
    </xf>
    <xf numFmtId="0" fontId="0" fillId="0" borderId="1" xfId="0" applyBorder="1" applyAlignment="1">
      <alignment vertical="center"/>
    </xf>
    <xf numFmtId="49" fontId="0" fillId="0" borderId="1" xfId="0" applyNumberFormat="1" applyBorder="1" applyAlignment="1">
      <alignment horizontal="center" vertical="center"/>
    </xf>
    <xf numFmtId="0" fontId="0" fillId="0" borderId="1" xfId="0" applyNumberForma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8" xfId="0" applyFont="1" applyBorder="1" applyAlignment="1">
      <alignment horizontal="left" vertical="center" wrapText="1"/>
    </xf>
    <xf numFmtId="0" fontId="1" fillId="0" borderId="7"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kura87.ne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F53"/>
  <sheetViews>
    <sheetView tabSelected="1" workbookViewId="0" topLeftCell="A1">
      <selection activeCell="B14" sqref="B14:C14"/>
    </sheetView>
  </sheetViews>
  <sheetFormatPr defaultColWidth="9.00390625" defaultRowHeight="13.5"/>
  <cols>
    <col min="1" max="1" width="1.37890625" style="0" customWidth="1"/>
    <col min="2" max="26" width="3.625" style="0" customWidth="1"/>
    <col min="27" max="27" width="3.625" style="2" customWidth="1"/>
    <col min="28" max="31" width="3.625" style="0" customWidth="1"/>
    <col min="32" max="32" width="5.50390625" style="0" bestFit="1" customWidth="1"/>
    <col min="33" max="16384" width="3.625" style="0" customWidth="1"/>
  </cols>
  <sheetData>
    <row r="1" spans="2:32" ht="13.5">
      <c r="B1" t="s">
        <v>47</v>
      </c>
      <c r="AE1" s="5" t="s">
        <v>31</v>
      </c>
      <c r="AF1" s="6" t="s">
        <v>15</v>
      </c>
    </row>
    <row r="2" spans="2:32" ht="13.5">
      <c r="B2" s="17" t="s">
        <v>49</v>
      </c>
      <c r="C2" s="15"/>
      <c r="D2" s="15"/>
      <c r="E2" s="15"/>
      <c r="F2" s="15"/>
      <c r="G2" s="16"/>
      <c r="AE2" s="5" t="s">
        <v>32</v>
      </c>
      <c r="AF2" s="6" t="s">
        <v>16</v>
      </c>
    </row>
    <row r="3" spans="2:32" ht="13.5">
      <c r="B3" s="8" t="s">
        <v>51</v>
      </c>
      <c r="C3" s="8"/>
      <c r="D3" s="8"/>
      <c r="E3" s="8"/>
      <c r="F3" s="8"/>
      <c r="G3" s="8"/>
      <c r="H3" s="8"/>
      <c r="I3" s="9"/>
      <c r="J3" s="9"/>
      <c r="K3" s="9"/>
      <c r="L3" s="9"/>
      <c r="M3" s="9"/>
      <c r="N3" s="9"/>
      <c r="O3" s="9"/>
      <c r="P3" s="9"/>
      <c r="Q3" s="9"/>
      <c r="R3" s="9"/>
      <c r="S3" s="9"/>
      <c r="T3" s="9"/>
      <c r="U3" s="9"/>
      <c r="V3" s="9"/>
      <c r="W3" s="9"/>
      <c r="X3" s="7"/>
      <c r="AE3" s="5" t="s">
        <v>33</v>
      </c>
      <c r="AF3" s="6" t="s">
        <v>17</v>
      </c>
    </row>
    <row r="4" spans="2:32" ht="13.5">
      <c r="B4" s="10" t="str">
        <f>MID($B$2,1,1)</f>
        <v>C</v>
      </c>
      <c r="C4" s="10" t="str">
        <f>MID($B$2,2,1)</f>
        <v>1</v>
      </c>
      <c r="D4" s="10" t="str">
        <f>MID($B$2,3,1)</f>
        <v>3</v>
      </c>
      <c r="E4" s="10" t="str">
        <f>MID($B$2,4,1)</f>
        <v>2</v>
      </c>
      <c r="F4" s="10" t="str">
        <f>MID($B$2,5,1)</f>
        <v>D</v>
      </c>
      <c r="G4" s="10" t="str">
        <f>MID($B$2,6,1)</f>
        <v>6</v>
      </c>
      <c r="H4" s="10" t="str">
        <f>MID($B$2,7,1)</f>
        <v>8</v>
      </c>
      <c r="I4" s="10" t="str">
        <f>MID($B$2,8,1)</f>
        <v>7</v>
      </c>
      <c r="J4" s="10" t="str">
        <f>MID($B$2,9,1)</f>
        <v>E</v>
      </c>
      <c r="K4" s="10" t="str">
        <f>MID($B$2,10,1)</f>
        <v>3</v>
      </c>
      <c r="L4" s="10" t="str">
        <f>MID($B$2,11,1)</f>
        <v>D</v>
      </c>
      <c r="M4" s="10" t="str">
        <f>MID($B$2,12,1)</f>
        <v>7</v>
      </c>
      <c r="N4" s="10" t="str">
        <f>MID($B$2,13,1)</f>
        <v>0</v>
      </c>
      <c r="O4" s="10" t="str">
        <f>MID($B$2,14,1)</f>
        <v>A</v>
      </c>
      <c r="P4" s="10" t="str">
        <f>MID($B$2,15,1)</f>
        <v>3</v>
      </c>
      <c r="Q4" s="10" t="str">
        <f>MID($B$2,16,1)</f>
        <v>D</v>
      </c>
      <c r="R4" s="9"/>
      <c r="S4" s="9"/>
      <c r="T4" s="9"/>
      <c r="U4" s="9"/>
      <c r="V4" s="9"/>
      <c r="W4" s="9"/>
      <c r="X4" s="7"/>
      <c r="AE4" s="5" t="s">
        <v>34</v>
      </c>
      <c r="AF4" s="6" t="s">
        <v>18</v>
      </c>
    </row>
    <row r="5" spans="2:32" ht="13.5">
      <c r="B5" s="11" t="str">
        <f>VLOOKUP($B4,$AE$1:$AF$16,2,0)</f>
        <v>1100</v>
      </c>
      <c r="C5" s="11" t="str">
        <f>VLOOKUP($C4,$AE$1:$AF$16,2,0)</f>
        <v>0001</v>
      </c>
      <c r="D5" s="11" t="str">
        <f>VLOOKUP($D4,$AE$1:$AF$16,2,0)</f>
        <v>0011</v>
      </c>
      <c r="E5" s="11" t="str">
        <f>VLOOKUP($E4,$AE$1:$AF$16,2,0)</f>
        <v>0010</v>
      </c>
      <c r="F5" s="11" t="str">
        <f>VLOOKUP($F4,$AE$1:$AF$16,2,0)</f>
        <v>1101</v>
      </c>
      <c r="G5" s="11" t="str">
        <f>VLOOKUP($G4,$AE$1:$AF$16,2,0)</f>
        <v>0110</v>
      </c>
      <c r="H5" s="11" t="str">
        <f>VLOOKUP($H4,$AE$1:$AF$16,2,0)</f>
        <v>1000</v>
      </c>
      <c r="I5" s="11" t="str">
        <f>VLOOKUP($I4,$AE$1:$AF$16,2,0)</f>
        <v>0111</v>
      </c>
      <c r="J5" s="11" t="str">
        <f>VLOOKUP($J4,$AE$1:$AF$16,2,0)</f>
        <v>1110</v>
      </c>
      <c r="K5" s="11" t="str">
        <f>VLOOKUP($K4,$AE$1:$AF$16,2,0)</f>
        <v>0011</v>
      </c>
      <c r="L5" s="11" t="str">
        <f>VLOOKUP($L4,$AE$1:$AF$16,2,0)</f>
        <v>1101</v>
      </c>
      <c r="M5" s="11" t="str">
        <f>VLOOKUP($M4,$AE$1:$AF$16,2,0)</f>
        <v>0111</v>
      </c>
      <c r="N5" s="11" t="str">
        <f>VLOOKUP($N4,$AE$1:$AF$16,2,0)</f>
        <v>0000</v>
      </c>
      <c r="O5" s="11" t="str">
        <f>VLOOKUP($O4,$AE$1:$AF$16,2,0)</f>
        <v>1010</v>
      </c>
      <c r="P5" s="11" t="str">
        <f>VLOOKUP($P4,$AE$1:$AF$16,2,0)</f>
        <v>0011</v>
      </c>
      <c r="Q5" s="11" t="str">
        <f>VLOOKUP($Q4,$AE$1:$AF$16,2,0)</f>
        <v>1101</v>
      </c>
      <c r="R5" s="9"/>
      <c r="S5" s="9"/>
      <c r="T5" s="9"/>
      <c r="U5" s="9"/>
      <c r="V5" s="9"/>
      <c r="W5" s="9"/>
      <c r="X5" s="7"/>
      <c r="AE5" s="5" t="s">
        <v>35</v>
      </c>
      <c r="AF5" s="6" t="s">
        <v>19</v>
      </c>
    </row>
    <row r="6" spans="2:32" ht="13.5">
      <c r="B6" t="s">
        <v>50</v>
      </c>
      <c r="AE6" s="5" t="s">
        <v>36</v>
      </c>
      <c r="AF6" s="6" t="s">
        <v>20</v>
      </c>
    </row>
    <row r="7" spans="2:32" ht="13.5">
      <c r="B7" s="45" t="s">
        <v>48</v>
      </c>
      <c r="C7" s="45"/>
      <c r="D7" s="46" t="str">
        <f>VLOOKUP(MID($B$2,1,1),$AE$1:$AF$16,2,0)&amp;VLOOKUP(MID($B$2,2,1),$AE$1:$AF$16,2,0)&amp;VLOOKUP(MID($B$2,3,1),$AE$1:$AF$16,2,0)&amp;VLOOKUP(MID($B$2,4,1),$AE$1:$AF$16,2,0)&amp;VLOOKUP(MID($B$2,5,1),$AE$1:$AF$16,2,0)&amp;VLOOKUP(MID($B$2,6,1),$AE$1:$AF$16,2,0)&amp;VLOOKUP(MID($B$2,7,1),$AE$1:$AF$16,2,0)&amp;VLOOKUP(MID($B$2,8,1),$AE$1:$AF$16,2,0)&amp;VLOOKUP(MID($B$2,9,1),$AE$1:$AF$16,2,0)&amp;VLOOKUP(MID($B$2,10,1),$AE$1:$AF$16,2,0)&amp;VLOOKUP(MID($B$2,11,1),$AE$1:$AF$16,2,0)&amp;VLOOKUP(MID($B$2,12,1),$AE$1:$AF$16,2,0)&amp;VLOOKUP(MID($B$2,13,1),$AE$1:$AF$16,2,0)&amp;VLOOKUP(MID($B$2,14,1),$AE$1:$AF$16,2,0)&amp;VLOOKUP(MID($B$2,15,1),$AE$1:$AF$16,2,0)&amp;VLOOKUP(MID($B$2,16,1),$AE$1:$AF$16,2,0)</f>
        <v>1100000100110010110101101000011111100011110101110000101000111101</v>
      </c>
      <c r="E7" s="46"/>
      <c r="F7" s="46"/>
      <c r="G7" s="46"/>
      <c r="H7" s="46"/>
      <c r="I7" s="46"/>
      <c r="J7" s="46"/>
      <c r="K7" s="46"/>
      <c r="L7" s="46"/>
      <c r="M7" s="46"/>
      <c r="N7" s="46"/>
      <c r="O7" s="46"/>
      <c r="P7" s="46"/>
      <c r="Q7" s="46"/>
      <c r="R7" s="46"/>
      <c r="S7" s="46"/>
      <c r="T7" s="46"/>
      <c r="U7" s="46"/>
      <c r="V7" s="3"/>
      <c r="W7" s="3"/>
      <c r="X7" s="3"/>
      <c r="Y7" s="3"/>
      <c r="AE7" s="5" t="s">
        <v>37</v>
      </c>
      <c r="AF7" s="6" t="s">
        <v>21</v>
      </c>
    </row>
    <row r="8" spans="2:32" ht="13.5">
      <c r="B8" s="8" t="s">
        <v>116</v>
      </c>
      <c r="C8" s="8"/>
      <c r="D8" s="2"/>
      <c r="E8" s="2"/>
      <c r="F8" s="2"/>
      <c r="G8" s="2"/>
      <c r="H8" s="2"/>
      <c r="I8" s="2"/>
      <c r="J8" s="2"/>
      <c r="K8" s="2"/>
      <c r="L8" s="2"/>
      <c r="M8" s="2"/>
      <c r="N8" s="2"/>
      <c r="O8" s="2"/>
      <c r="P8" s="2"/>
      <c r="Q8" s="2"/>
      <c r="R8" s="2"/>
      <c r="S8" s="2"/>
      <c r="T8" s="2"/>
      <c r="U8" s="2"/>
      <c r="AE8" s="5" t="s">
        <v>38</v>
      </c>
      <c r="AF8" s="6" t="s">
        <v>22</v>
      </c>
    </row>
    <row r="9" spans="2:32" ht="13.5">
      <c r="B9" s="48" t="s">
        <v>41</v>
      </c>
      <c r="C9" s="48"/>
      <c r="D9" s="20" t="str">
        <f>MID(D7,1,1)</f>
        <v>1</v>
      </c>
      <c r="E9" s="8"/>
      <c r="F9" s="8"/>
      <c r="G9" s="8"/>
      <c r="H9" s="8"/>
      <c r="I9" s="8"/>
      <c r="J9" s="8"/>
      <c r="K9" s="8"/>
      <c r="L9" s="8"/>
      <c r="M9" s="8"/>
      <c r="N9" s="8"/>
      <c r="O9" s="8"/>
      <c r="P9" s="8"/>
      <c r="Q9" s="8"/>
      <c r="R9" s="8"/>
      <c r="S9" s="8"/>
      <c r="T9" s="8"/>
      <c r="U9" s="8"/>
      <c r="V9" s="8"/>
      <c r="W9" s="8"/>
      <c r="X9" s="8"/>
      <c r="Y9" s="8"/>
      <c r="Z9" s="8"/>
      <c r="AA9" s="12"/>
      <c r="AB9" s="8"/>
      <c r="AC9" s="8"/>
      <c r="AD9" s="8"/>
      <c r="AE9" s="5" t="s">
        <v>39</v>
      </c>
      <c r="AF9" s="6" t="s">
        <v>23</v>
      </c>
    </row>
    <row r="10" spans="2:32" ht="13.5">
      <c r="B10" s="48" t="s">
        <v>42</v>
      </c>
      <c r="C10" s="48"/>
      <c r="D10" s="20" t="str">
        <f>MID($D$7,2,1)</f>
        <v>1</v>
      </c>
      <c r="E10" s="20" t="str">
        <f>MID($D$7,3,1)</f>
        <v>0</v>
      </c>
      <c r="F10" s="20" t="str">
        <f>MID($D$7,4,1)</f>
        <v>0</v>
      </c>
      <c r="G10" s="20" t="str">
        <f>MID($D$7,5,1)</f>
        <v>0</v>
      </c>
      <c r="H10" s="20" t="str">
        <f>MID($D$7,6,1)</f>
        <v>0</v>
      </c>
      <c r="I10" s="20" t="str">
        <f>MID($D$7,7,1)</f>
        <v>0</v>
      </c>
      <c r="J10" s="20" t="str">
        <f>MID($D$7,8,1)</f>
        <v>1</v>
      </c>
      <c r="K10" s="20" t="str">
        <f>MID($D$7,9,1)</f>
        <v>0</v>
      </c>
      <c r="L10" s="20" t="str">
        <f>MID($D$7,10,1)</f>
        <v>0</v>
      </c>
      <c r="M10" s="20" t="str">
        <f>MID($D$7,11,1)</f>
        <v>1</v>
      </c>
      <c r="N10" s="20" t="str">
        <f>MID($D$7,12,1)</f>
        <v>1</v>
      </c>
      <c r="O10" s="8"/>
      <c r="P10" s="8"/>
      <c r="Q10" s="8"/>
      <c r="R10" s="8"/>
      <c r="S10" s="8"/>
      <c r="T10" s="8"/>
      <c r="U10" s="8"/>
      <c r="V10" s="8"/>
      <c r="W10" s="8"/>
      <c r="X10" s="8"/>
      <c r="Y10" s="8"/>
      <c r="Z10" s="8"/>
      <c r="AA10" s="12"/>
      <c r="AB10" s="8"/>
      <c r="AC10" s="8"/>
      <c r="AD10" s="8"/>
      <c r="AE10" s="5" t="s">
        <v>40</v>
      </c>
      <c r="AF10" s="6" t="s">
        <v>24</v>
      </c>
    </row>
    <row r="11" spans="2:32" ht="13.5">
      <c r="B11" s="48" t="s">
        <v>43</v>
      </c>
      <c r="C11" s="48"/>
      <c r="D11" s="20" t="str">
        <f>MID($D$7,13,1)</f>
        <v>0</v>
      </c>
      <c r="E11" s="20" t="str">
        <f>MID($D$7,14,1)</f>
        <v>0</v>
      </c>
      <c r="F11" s="20" t="str">
        <f>MID($D$7,15,1)</f>
        <v>1</v>
      </c>
      <c r="G11" s="20" t="str">
        <f>MID($D$7,16,1)</f>
        <v>0</v>
      </c>
      <c r="H11" s="20" t="str">
        <f>MID($D$7,17,1)</f>
        <v>1</v>
      </c>
      <c r="I11" s="20" t="str">
        <f>MID($D$7,18,1)</f>
        <v>1</v>
      </c>
      <c r="J11" s="20" t="str">
        <f>MID($D$7,19,1)</f>
        <v>0</v>
      </c>
      <c r="K11" s="20" t="str">
        <f>MID($D$7,20,1)</f>
        <v>1</v>
      </c>
      <c r="L11" s="20" t="str">
        <f>MID($D$7,21,1)</f>
        <v>0</v>
      </c>
      <c r="M11" s="20" t="str">
        <f>MID($D$7,22,1)</f>
        <v>1</v>
      </c>
      <c r="N11" s="20" t="str">
        <f>MID($D$7,23,1)</f>
        <v>1</v>
      </c>
      <c r="O11" s="20" t="str">
        <f>MID($D$7,24,1)</f>
        <v>0</v>
      </c>
      <c r="P11" s="20" t="str">
        <f>MID($D$7,25,1)</f>
        <v>1</v>
      </c>
      <c r="Q11" s="20" t="str">
        <f>MID($D$7,26,1)</f>
        <v>0</v>
      </c>
      <c r="R11" s="20" t="str">
        <f>MID($D$7,27,1)</f>
        <v>0</v>
      </c>
      <c r="S11" s="20" t="str">
        <f>MID($D$7,28,1)</f>
        <v>0</v>
      </c>
      <c r="T11" s="20" t="str">
        <f>MID($D$7,29,1)</f>
        <v>0</v>
      </c>
      <c r="U11" s="20" t="str">
        <f>MID($D$7,30,1)</f>
        <v>1</v>
      </c>
      <c r="V11" s="20" t="str">
        <f>MID($D$7,31,1)</f>
        <v>1</v>
      </c>
      <c r="W11" s="20" t="str">
        <f>MID($D$7,32,1)</f>
        <v>1</v>
      </c>
      <c r="X11" s="20" t="str">
        <f>MID($D$7,33,1)</f>
        <v>1</v>
      </c>
      <c r="Y11" s="20" t="str">
        <f>MID($D$7,34,1)</f>
        <v>1</v>
      </c>
      <c r="Z11" s="20" t="str">
        <f>MID($D$7,35,1)</f>
        <v>1</v>
      </c>
      <c r="AA11" s="20" t="str">
        <f>MID($D$7,36,1)</f>
        <v>0</v>
      </c>
      <c r="AB11" s="20" t="str">
        <f>MID($D$7,37,1)</f>
        <v>0</v>
      </c>
      <c r="AC11" s="20" t="str">
        <f>MID($D$7,38,1)</f>
        <v>0</v>
      </c>
      <c r="AD11" s="8"/>
      <c r="AE11" s="5" t="s">
        <v>9</v>
      </c>
      <c r="AF11" s="6" t="s">
        <v>26</v>
      </c>
    </row>
    <row r="12" spans="2:32" ht="13.5">
      <c r="B12" s="48"/>
      <c r="C12" s="48"/>
      <c r="D12" s="20" t="str">
        <f>MID($D$7,39,1)</f>
        <v>1</v>
      </c>
      <c r="E12" s="20" t="str">
        <f>MID($D$7,40,1)</f>
        <v>1</v>
      </c>
      <c r="F12" s="20" t="str">
        <f>MID($D$7,41,1)</f>
        <v>1</v>
      </c>
      <c r="G12" s="20" t="str">
        <f>MID($D$7,42,1)</f>
        <v>1</v>
      </c>
      <c r="H12" s="20" t="str">
        <f>MID($D$7,43,1)</f>
        <v>0</v>
      </c>
      <c r="I12" s="20" t="str">
        <f>MID($D$7,44,1)</f>
        <v>1</v>
      </c>
      <c r="J12" s="20" t="str">
        <f>MID($D$7,45,1)</f>
        <v>0</v>
      </c>
      <c r="K12" s="20" t="str">
        <f>MID($D$7,46,1)</f>
        <v>1</v>
      </c>
      <c r="L12" s="20" t="str">
        <f>MID($D$7,47,1)</f>
        <v>1</v>
      </c>
      <c r="M12" s="20" t="str">
        <f>MID($D$7,48,1)</f>
        <v>1</v>
      </c>
      <c r="N12" s="20" t="str">
        <f>MID($D$7,49,1)</f>
        <v>0</v>
      </c>
      <c r="O12" s="20" t="str">
        <f>MID($D$7,50,1)</f>
        <v>0</v>
      </c>
      <c r="P12" s="20" t="str">
        <f>MID($D$7,51,1)</f>
        <v>0</v>
      </c>
      <c r="Q12" s="20" t="str">
        <f>MID($D$7,52,1)</f>
        <v>0</v>
      </c>
      <c r="R12" s="20" t="str">
        <f>MID($D$7,53,1)</f>
        <v>1</v>
      </c>
      <c r="S12" s="20" t="str">
        <f>MID($D$7,54,1)</f>
        <v>0</v>
      </c>
      <c r="T12" s="20" t="str">
        <f>MID($D$7,55,1)</f>
        <v>1</v>
      </c>
      <c r="U12" s="20" t="str">
        <f>MID($D$7,56,1)</f>
        <v>0</v>
      </c>
      <c r="V12" s="20" t="str">
        <f>MID($D$7,57,1)</f>
        <v>0</v>
      </c>
      <c r="W12" s="20" t="str">
        <f>MID($D$7,58,1)</f>
        <v>0</v>
      </c>
      <c r="X12" s="20" t="str">
        <f>MID($D$7,59,1)</f>
        <v>1</v>
      </c>
      <c r="Y12" s="20" t="str">
        <f>MID($D$7,60,1)</f>
        <v>1</v>
      </c>
      <c r="Z12" s="20" t="str">
        <f>MID($D$7,61,1)</f>
        <v>1</v>
      </c>
      <c r="AA12" s="20" t="str">
        <f>MID($D$7,62,1)</f>
        <v>1</v>
      </c>
      <c r="AB12" s="20" t="str">
        <f>MID($D$7,63,1)</f>
        <v>0</v>
      </c>
      <c r="AC12" s="20" t="str">
        <f>MID($D$7,64,1)</f>
        <v>1</v>
      </c>
      <c r="AD12" s="8"/>
      <c r="AE12" s="5" t="s">
        <v>10</v>
      </c>
      <c r="AF12" s="6" t="s">
        <v>25</v>
      </c>
    </row>
    <row r="13" spans="2:32" ht="13.5">
      <c r="B13" s="8" t="s">
        <v>117</v>
      </c>
      <c r="C13" s="8"/>
      <c r="D13" s="8"/>
      <c r="E13" s="8"/>
      <c r="F13" s="8"/>
      <c r="G13" s="8"/>
      <c r="H13" s="8"/>
      <c r="I13" s="8"/>
      <c r="J13" s="8"/>
      <c r="K13" s="8"/>
      <c r="L13" s="8"/>
      <c r="M13" s="8"/>
      <c r="N13" s="8"/>
      <c r="O13" s="8"/>
      <c r="P13" s="8"/>
      <c r="Q13" s="8"/>
      <c r="R13" s="8"/>
      <c r="S13" s="8"/>
      <c r="T13" s="8"/>
      <c r="U13" s="8"/>
      <c r="V13" s="8"/>
      <c r="W13" s="8"/>
      <c r="X13" s="8"/>
      <c r="Y13" s="8"/>
      <c r="Z13" s="8"/>
      <c r="AA13" s="12"/>
      <c r="AB13" s="8"/>
      <c r="AC13" s="8"/>
      <c r="AD13" s="8"/>
      <c r="AE13" s="5" t="s">
        <v>11</v>
      </c>
      <c r="AF13" s="6" t="s">
        <v>27</v>
      </c>
    </row>
    <row r="14" spans="2:32" ht="13.5">
      <c r="B14" s="48" t="s">
        <v>42</v>
      </c>
      <c r="C14" s="48"/>
      <c r="D14" s="21">
        <f>$D10*2^10</f>
        <v>1024</v>
      </c>
      <c r="E14" s="21">
        <f>$E10*2^9</f>
        <v>0</v>
      </c>
      <c r="F14" s="21">
        <f>$F10*2^8</f>
        <v>0</v>
      </c>
      <c r="G14" s="21">
        <f>$G10*2^7</f>
        <v>0</v>
      </c>
      <c r="H14" s="21">
        <f>$H10*2^6</f>
        <v>0</v>
      </c>
      <c r="I14" s="21">
        <f>$I10*2^5</f>
        <v>0</v>
      </c>
      <c r="J14" s="21">
        <f>$J10*2^4</f>
        <v>16</v>
      </c>
      <c r="K14" s="21">
        <f>$K10*2^3</f>
        <v>0</v>
      </c>
      <c r="L14" s="21">
        <f>$L10*2^2</f>
        <v>0</v>
      </c>
      <c r="M14" s="21">
        <f>$M10*2^1</f>
        <v>2</v>
      </c>
      <c r="N14" s="21">
        <f>$N10*2^0</f>
        <v>1</v>
      </c>
      <c r="O14" s="13"/>
      <c r="P14" s="13"/>
      <c r="Q14" s="13"/>
      <c r="R14" s="13"/>
      <c r="S14" s="13"/>
      <c r="T14" s="13"/>
      <c r="U14" s="13"/>
      <c r="V14" s="13"/>
      <c r="W14" s="13"/>
      <c r="X14" s="13"/>
      <c r="Y14" s="13"/>
      <c r="Z14" s="13"/>
      <c r="AA14" s="13"/>
      <c r="AB14" s="14"/>
      <c r="AC14" s="13"/>
      <c r="AD14" s="8"/>
      <c r="AE14" s="5" t="s">
        <v>12</v>
      </c>
      <c r="AF14" s="6" t="s">
        <v>28</v>
      </c>
    </row>
    <row r="15" spans="2:32" ht="13.5">
      <c r="B15" s="48" t="s">
        <v>43</v>
      </c>
      <c r="C15" s="48"/>
      <c r="D15" s="21">
        <f>D11*(1/2^1)</f>
        <v>0</v>
      </c>
      <c r="E15" s="21">
        <f>E11*(1/2^2)</f>
        <v>0</v>
      </c>
      <c r="F15" s="21">
        <f>F11*(1/2^3)</f>
        <v>0.125</v>
      </c>
      <c r="G15" s="21">
        <f>G11*(1/2^4)</f>
        <v>0</v>
      </c>
      <c r="H15" s="21">
        <f>H11*(1/2^5)</f>
        <v>0.03125</v>
      </c>
      <c r="I15" s="21">
        <f>I11*(1/2^6)</f>
        <v>0.015625</v>
      </c>
      <c r="J15" s="21">
        <f>J11*(1/2^7)</f>
        <v>0</v>
      </c>
      <c r="K15" s="21">
        <f>K11*(1/2^8)</f>
        <v>0.00390625</v>
      </c>
      <c r="L15" s="21">
        <f>L11*(1/2^9)</f>
        <v>0</v>
      </c>
      <c r="M15" s="21">
        <f>M11*(1/2^10)</f>
        <v>0.0009765625</v>
      </c>
      <c r="N15" s="21">
        <f>N11*(1/2^11)</f>
        <v>0.00048828125</v>
      </c>
      <c r="O15" s="21">
        <f>O11*(1/2^12)</f>
        <v>0</v>
      </c>
      <c r="P15" s="21">
        <f>P11*(1/2^13)</f>
        <v>0.0001220703125</v>
      </c>
      <c r="Q15" s="21">
        <f>Q11*(1/2^14)</f>
        <v>0</v>
      </c>
      <c r="R15" s="21">
        <f>R11*(1/2^15)</f>
        <v>0</v>
      </c>
      <c r="S15" s="21">
        <f>S11*(1/2^16)</f>
        <v>0</v>
      </c>
      <c r="T15" s="21">
        <f>T11*(1/2^17)</f>
        <v>0</v>
      </c>
      <c r="U15" s="21">
        <f>U11*(1/2^18)</f>
        <v>3.814697265625E-06</v>
      </c>
      <c r="V15" s="21">
        <f>V11*(1/2^19)</f>
        <v>1.9073486328125E-06</v>
      </c>
      <c r="W15" s="21">
        <f>W11*(1/2^20)</f>
        <v>9.5367431640625E-07</v>
      </c>
      <c r="X15" s="21">
        <f>X11*(1/2^21)</f>
        <v>4.76837158203125E-07</v>
      </c>
      <c r="Y15" s="21">
        <f>Y11*(1/2^22)</f>
        <v>2.384185791015625E-07</v>
      </c>
      <c r="Z15" s="21">
        <f>Z11*(1/2^23)</f>
        <v>1.1920928955078125E-07</v>
      </c>
      <c r="AA15" s="21">
        <f>AA11*(1/2^24)</f>
        <v>0</v>
      </c>
      <c r="AB15" s="21">
        <f>AB11*(1/2^25)</f>
        <v>0</v>
      </c>
      <c r="AC15" s="21">
        <f>AC11*(1/2^26)</f>
        <v>0</v>
      </c>
      <c r="AD15" s="8"/>
      <c r="AE15" s="5" t="s">
        <v>13</v>
      </c>
      <c r="AF15" s="6" t="s">
        <v>29</v>
      </c>
    </row>
    <row r="16" spans="2:32" ht="13.5">
      <c r="B16" s="48"/>
      <c r="C16" s="48"/>
      <c r="D16" s="21">
        <f>D12*(1/2^27)</f>
        <v>7.450580596923828E-09</v>
      </c>
      <c r="E16" s="21">
        <f>E12*(1/2^28)</f>
        <v>3.725290298461914E-09</v>
      </c>
      <c r="F16" s="21">
        <f>F12*(1/2^29)</f>
        <v>1.862645149230957E-09</v>
      </c>
      <c r="G16" s="21">
        <f>G12*(1/2^30)</f>
        <v>9.313225746154785E-10</v>
      </c>
      <c r="H16" s="21">
        <f>H12*(1/2^31)</f>
        <v>0</v>
      </c>
      <c r="I16" s="21">
        <f>I12*(1/2^32)</f>
        <v>2.3283064365386963E-10</v>
      </c>
      <c r="J16" s="21">
        <f>J12*(1/2^33)</f>
        <v>0</v>
      </c>
      <c r="K16" s="21">
        <f>K12*(1/2^34)</f>
        <v>5.820766091346741E-11</v>
      </c>
      <c r="L16" s="21">
        <f>L12*(1/2^35)</f>
        <v>2.9103830456733704E-11</v>
      </c>
      <c r="M16" s="21">
        <f>M12*(1/2^36)</f>
        <v>1.4551915228366852E-11</v>
      </c>
      <c r="N16" s="21">
        <f>N12*(1/2^37)</f>
        <v>0</v>
      </c>
      <c r="O16" s="21">
        <f>O12*(1/2^38)</f>
        <v>0</v>
      </c>
      <c r="P16" s="21">
        <f>P12*(1/2^39)</f>
        <v>0</v>
      </c>
      <c r="Q16" s="21">
        <f>Q12*(1/2^40)</f>
        <v>0</v>
      </c>
      <c r="R16" s="21">
        <f>R12*(1/2^41)</f>
        <v>4.547473508864641E-13</v>
      </c>
      <c r="S16" s="21">
        <f>S12*(1/2^42)</f>
        <v>0</v>
      </c>
      <c r="T16" s="21">
        <f>T12*(1/2^43)</f>
        <v>1.1368683772161603E-13</v>
      </c>
      <c r="U16" s="21">
        <f>U12*(1/2^44)</f>
        <v>0</v>
      </c>
      <c r="V16" s="21">
        <f>V12*(1/2^45)</f>
        <v>0</v>
      </c>
      <c r="W16" s="21">
        <f>W12*(1/2^46)</f>
        <v>0</v>
      </c>
      <c r="X16" s="21">
        <f>X12*(1/2^47)</f>
        <v>7.105427357601002E-15</v>
      </c>
      <c r="Y16" s="21">
        <f>Y12*(1/2^48)</f>
        <v>3.552713678800501E-15</v>
      </c>
      <c r="Z16" s="21">
        <f>Z12*(1/2^49)</f>
        <v>1.7763568394002505E-15</v>
      </c>
      <c r="AA16" s="21">
        <f>AA12*(1/2^50)</f>
        <v>8.881784197001252E-16</v>
      </c>
      <c r="AB16" s="21">
        <f>AB12*(1/2^51)</f>
        <v>0</v>
      </c>
      <c r="AC16" s="21">
        <f>AC12*(1/2^52)</f>
        <v>2.220446049250313E-16</v>
      </c>
      <c r="AD16" s="8"/>
      <c r="AE16" s="5" t="s">
        <v>14</v>
      </c>
      <c r="AF16" s="6" t="s">
        <v>30</v>
      </c>
    </row>
    <row r="18" spans="2:18" ht="13.5">
      <c r="B18" s="49" t="s">
        <v>44</v>
      </c>
      <c r="C18" s="49"/>
      <c r="D18" s="49"/>
      <c r="E18" s="50">
        <f>(MID($D$28,2,1)*2^10)+(MID($D$28,3,1)*2^9)+(MID($D$28,4,1)*2^8)+(MID($D$28,5,1)*2^7)+(MID($D$28,6,1)*2^6)+(MID($D$28,7,1)*2^5)+(MID($D$28,8,1)*2^4)+(MID($D$28,9,1)*2^3)+(MID($D$28,10,1)*2^2)+(MID($D$28,11,1)*2^1)+(MID($D$28,12,1)*2^0)</f>
        <v>1043</v>
      </c>
      <c r="F18" s="50"/>
      <c r="G18" s="50"/>
      <c r="H18" s="50"/>
      <c r="I18" s="50"/>
      <c r="J18" s="50"/>
      <c r="K18" s="50"/>
      <c r="L18" s="50"/>
      <c r="R18" t="s">
        <v>53</v>
      </c>
    </row>
    <row r="19" spans="2:19" ht="13.5">
      <c r="B19" s="45" t="s">
        <v>45</v>
      </c>
      <c r="C19" s="45"/>
      <c r="D19" s="45"/>
      <c r="E19" s="4">
        <f>(MID($D$28,13,1)*(1/2^1))+(MID($D$28,14,1)*(1/2^2))+(MID($D$28,15,1)*(1/2^3))+(MID($D$28,16,1)*(1/2^4))+(MID($D$28,17,1)*(1/2^5))+(MID($D$28,18,1)*(1/2^6))+(MID($D$28,19,1)*(1/2^7))+(MID($D$28,20,1)*(1/2^8))+(MID($D$28,21,1)*(1/2^9))+(MID($D$28,22,1)*(1/2^10))</f>
        <v>0.1767578125</v>
      </c>
      <c r="F19" s="4">
        <f>(MID($D$28,23,1)*(1/2^11))+(MID($D$28,24,1)*(1/2^12))+(MID($D$28,25,1)*(1/2^13))+(MID($D$28,26,1)*(1/2^14))+(MID($D$28,27,1)*(1/2^15))+(MID($D$28,28,1)*(1/2^16))+(MID($D$28,29,1)*(1/2^17))+(MID($D$28,30,1)*(1/2^18))+(MID($D$28,31,1)*(1/2^19))+(MID($D$28,32,1)*(1/2^20))</f>
        <v>0.0006170272827148438</v>
      </c>
      <c r="G19" s="4">
        <f>(MID($D$28,33,1)*(1/2^21))+(MID($D$28,34,1)*(1/2^22))+(MID($D$28,35,1)*(1/2^23))+(MID($D$28,36,1)*(1/2^24))+(MID($D$28,37,1)*(1/2^25))+(MID($D$28,38,1)*(1/2^26))+(MID($D$28,39,1)*(1/2^27))+(MID($D$28,40,1)*(1/2^28))+(MID($D$28,41,1)*(1/2^29))+(MID($D$28,42,1)*(1/2^30))</f>
        <v>8.484348654747009E-07</v>
      </c>
      <c r="H19" s="4">
        <f>(MID($D$28,43,1)*(1/2^31))+(MID($D$28,44,1)*(1/2^32))+(MID($D$28,45,1)*(1/2^33))+(MID($D$28,46,1)*(1/2^34))+(MID($D$28,47,1)*(1/2^35))+(MID($D$28,48,1)*(1/2^36))+(MID($D$28,49,1)*(1/2^37))+(MID($D$28,50,1)*(1/2^38))+(MID($D$28,51,1)*(1/2^39))+(MID($D$28,52,1)*(1/2^40))</f>
        <v>3.346940502524376E-10</v>
      </c>
      <c r="I19" s="4">
        <f>(MID($D$28,53,1)*(1/2^41))+(MID($D$28,54,1)*(1/2^42))+(MID($D$28,55,1)*(1/2^43))+(MID($D$28,56,1)*(1/2^44))+(MID($D$28,57,1)*(1/2^45))+(MID($D$28,58,1)*(1/2^46))+(MID($D$28,59,1)*(1/2^47))+(MID($D$28,60,1)*(1/2^48))+(MID($D$28,61,1)*(1/2^49))+(MID($D$28,62,1)*(1/2^50))</f>
        <v>5.81756864903582E-13</v>
      </c>
      <c r="J19" s="4">
        <f>(MID($D$28,63,1)*(1/2^51))+(MID($D$28,64,1)*(1/2^52))</f>
        <v>2.220446049250313E-16</v>
      </c>
      <c r="K19" s="4"/>
      <c r="L19" s="4"/>
      <c r="S19" t="s">
        <v>54</v>
      </c>
    </row>
    <row r="20" spans="2:19" ht="13.5">
      <c r="B20" s="45"/>
      <c r="C20" s="45"/>
      <c r="D20" s="45"/>
      <c r="E20" s="45">
        <f>SUM(E19:J19)</f>
        <v>0.17737568855285635</v>
      </c>
      <c r="F20" s="45"/>
      <c r="G20" s="45"/>
      <c r="H20" s="45"/>
      <c r="I20" s="45"/>
      <c r="J20" s="45"/>
      <c r="K20" s="45"/>
      <c r="L20" s="45"/>
      <c r="S20" s="18" t="s">
        <v>55</v>
      </c>
    </row>
    <row r="21" spans="2:12" ht="13.5">
      <c r="B21" s="49" t="s">
        <v>46</v>
      </c>
      <c r="C21" s="49"/>
      <c r="D21" s="49"/>
      <c r="E21" s="51">
        <f>((-1^MID(D7,1,1))*(2^(E18-1023))*(1+E20))</f>
        <v>-1234567.89</v>
      </c>
      <c r="F21" s="51"/>
      <c r="G21" s="51"/>
      <c r="H21" s="51"/>
      <c r="I21" s="51"/>
      <c r="J21" s="51"/>
      <c r="K21" s="51"/>
      <c r="L21" s="51"/>
    </row>
    <row r="23" ht="13.5">
      <c r="B23" s="23" t="s">
        <v>52</v>
      </c>
    </row>
    <row r="25" spans="31:32" ht="13.5">
      <c r="AE25" s="5" t="s">
        <v>31</v>
      </c>
      <c r="AF25" s="6" t="s">
        <v>15</v>
      </c>
    </row>
    <row r="26" spans="31:32" ht="13.5">
      <c r="AE26" s="5" t="s">
        <v>32</v>
      </c>
      <c r="AF26" s="6" t="s">
        <v>16</v>
      </c>
    </row>
    <row r="27" spans="2:32" ht="13.5">
      <c r="B27" t="s">
        <v>50</v>
      </c>
      <c r="AE27" s="5" t="s">
        <v>33</v>
      </c>
      <c r="AF27" s="6" t="s">
        <v>17</v>
      </c>
    </row>
    <row r="28" spans="2:32" ht="13.5">
      <c r="B28" s="45" t="s">
        <v>48</v>
      </c>
      <c r="C28" s="45"/>
      <c r="D28" s="46" t="str">
        <f>VLOOKUP(MID($B$2,1,1),$AE$25:$AF$40,2,0)&amp;VLOOKUP(MID($B$2,2,1),$AE$25:$AF$40,2,0)&amp;VLOOKUP(MID($B$2,3,1),$AE$25:$AF$40,2,0)&amp;VLOOKUP(MID($B$2,4,1),$AE$25:$AF$40,2,0)&amp;VLOOKUP(MID($B$2,5,1),$AE$25:$AF$40,2,0)&amp;VLOOKUP(MID($B$2,6,1),$AE$25:$AF$40,2,0)&amp;VLOOKUP(MID($B$2,7,1),$AE$25:$AF$40,2,0)&amp;VLOOKUP(MID($B$2,8,1),$AE$25:$AF$40,2,0)&amp;VLOOKUP(MID($B$2,9,1),$AE$25:$AF$40,2,0)&amp;VLOOKUP(MID($B$2,10,1),$AE$25:$AF$40,2,0)&amp;VLOOKUP(MID($B$2,11,1),$AE$25:$AF$40,2,0)&amp;VLOOKUP(MID($B$2,12,1),$AE$25:$AF$40,2,0)&amp;VLOOKUP(MID($B$2,13,1),$AE$25:$AF$40,2,0)&amp;VLOOKUP(MID($B$2,14,1),$AE$25:$AF$40,2,0)&amp;VLOOKUP(MID($B$2,15,1),$AE$25:$AF$40,2,0)&amp;VLOOKUP(MID($B$2,16,1),$AE$25:$AF$40,2,0)</f>
        <v>1100000100110010110101101000011111100011110101110000101000111101</v>
      </c>
      <c r="E28" s="46"/>
      <c r="F28" s="46"/>
      <c r="G28" s="46"/>
      <c r="H28" s="46"/>
      <c r="I28" s="46"/>
      <c r="J28" s="46"/>
      <c r="K28" s="46"/>
      <c r="L28" s="46"/>
      <c r="M28" s="46"/>
      <c r="N28" s="46"/>
      <c r="O28" s="46"/>
      <c r="P28" s="46"/>
      <c r="Q28" s="46"/>
      <c r="R28" s="46"/>
      <c r="S28" s="46"/>
      <c r="T28" s="46"/>
      <c r="U28" s="46"/>
      <c r="AE28" s="5" t="s">
        <v>34</v>
      </c>
      <c r="AF28" s="6" t="s">
        <v>18</v>
      </c>
    </row>
    <row r="29" spans="31:32" ht="13.5">
      <c r="AE29" s="5" t="s">
        <v>35</v>
      </c>
      <c r="AF29" s="6" t="s">
        <v>19</v>
      </c>
    </row>
    <row r="30" spans="31:32" ht="13.5">
      <c r="AE30" s="5" t="s">
        <v>36</v>
      </c>
      <c r="AF30" s="6" t="s">
        <v>20</v>
      </c>
    </row>
    <row r="31" spans="2:32" ht="13.5">
      <c r="B31" s="49" t="s">
        <v>44</v>
      </c>
      <c r="C31" s="49"/>
      <c r="D31" s="49"/>
      <c r="E31" s="50">
        <f>(MID($D$28,2,1)*2^10)+(MID($D$28,3,1)*2^9)+(MID($D$28,4,1)*2^8)+(MID($D$28,5,1)*2^7)+(MID($D$28,6,1)*2^6)+(MID($D$28,7,1)*2^5)+(MID($D$28,8,1)*2^4)+(MID($D$28,9,1)*2^3)+(MID($D$28,10,1)*2^2)+(MID($D$28,11,1)*2^1)+(MID($D$28,12,1)*2^0)</f>
        <v>1043</v>
      </c>
      <c r="F31" s="50"/>
      <c r="G31" s="50"/>
      <c r="H31" s="50"/>
      <c r="I31" s="50"/>
      <c r="J31" s="50"/>
      <c r="K31" s="50"/>
      <c r="L31" s="50"/>
      <c r="AE31" s="5" t="s">
        <v>37</v>
      </c>
      <c r="AF31" s="6" t="s">
        <v>21</v>
      </c>
    </row>
    <row r="32" spans="2:32" ht="13.5">
      <c r="B32" s="45" t="s">
        <v>45</v>
      </c>
      <c r="C32" s="45"/>
      <c r="D32" s="45"/>
      <c r="E32" s="4">
        <f>(MID($D$28,13,1)*(1/2^1))+(MID($D$28,14,1)*(1/2^2))+(MID($D$28,15,1)*(1/2^3))+(MID($D$28,16,1)*(1/2^4))+(MID($D$28,17,1)*(1/2^5))+(MID($D$28,18,1)*(1/2^6))+(MID($D$28,19,1)*(1/2^7))+(MID($D$28,20,1)*(1/2^8))+(MID($D$28,21,1)*(1/2^9))+(MID($D$28,22,1)*(1/2^10))</f>
        <v>0.1767578125</v>
      </c>
      <c r="F32" s="4">
        <f>(MID($D$28,23,1)*(1/2^11))+(MID($D$28,24,1)*(1/2^12))+(MID($D$28,25,1)*(1/2^13))+(MID($D$28,26,1)*(1/2^14))+(MID($D$28,27,1)*(1/2^15))+(MID($D$28,28,1)*(1/2^16))+(MID($D$28,29,1)*(1/2^17))+(MID($D$28,30,1)*(1/2^18))+(MID($D$28,31,1)*(1/2^19))+(MID($D$28,32,1)*(1/2^20))</f>
        <v>0.0006170272827148438</v>
      </c>
      <c r="G32" s="4">
        <f>(MID($D$28,33,1)*(1/2^21))+(MID($D$28,34,1)*(1/2^22))+(MID($D$28,35,1)*(1/2^23))+(MID($D$28,36,1)*(1/2^24))+(MID($D$28,37,1)*(1/2^25))+(MID($D$28,38,1)*(1/2^26))+(MID($D$28,39,1)*(1/2^27))+(MID($D$28,40,1)*(1/2^28))+(MID($D$28,41,1)*(1/2^29))+(MID($D$28,42,1)*(1/2^30))</f>
        <v>8.484348654747009E-07</v>
      </c>
      <c r="H32" s="4">
        <f>(MID($D$28,43,1)*(1/2^31))+(MID($D$28,44,1)*(1/2^32))+(MID($D$28,45,1)*(1/2^33))+(MID($D$28,46,1)*(1/2^34))+(MID($D$28,47,1)*(1/2^35))+(MID($D$28,48,1)*(1/2^36))+(MID($D$28,49,1)*(1/2^37))+(MID($D$28,50,1)*(1/2^38))+(MID($D$28,51,1)*(1/2^39))+(MID($D$28,52,1)*(1/2^40))</f>
        <v>3.346940502524376E-10</v>
      </c>
      <c r="I32" s="4">
        <f>(MID($D$28,53,1)*(1/2^41))+(MID($D$28,54,1)*(1/2^42))+(MID($D$28,55,1)*(1/2^43))+(MID($D$28,56,1)*(1/2^44))+(MID($D$28,57,1)*(1/2^45))+(MID($D$28,58,1)*(1/2^46))+(MID($D$28,59,1)*(1/2^47))+(MID($D$28,60,1)*(1/2^48))+(MID($D$28,61,1)*(1/2^49))+(MID($D$28,62,1)*(1/2^50))</f>
        <v>5.81756864903582E-13</v>
      </c>
      <c r="J32" s="4">
        <f>(MID($D$28,63,1)*(1/2^51))+(MID($D$28,64,1)*(1/2^52))</f>
        <v>2.220446049250313E-16</v>
      </c>
      <c r="K32" s="4"/>
      <c r="L32" s="4"/>
      <c r="M32" t="s">
        <v>56</v>
      </c>
      <c r="AE32" s="5" t="s">
        <v>38</v>
      </c>
      <c r="AF32" s="6" t="s">
        <v>22</v>
      </c>
    </row>
    <row r="33" spans="2:32" ht="13.5">
      <c r="B33" s="45"/>
      <c r="C33" s="45"/>
      <c r="D33" s="45"/>
      <c r="E33" s="45">
        <f>SUM(E32:J32)</f>
        <v>0.17737568855285635</v>
      </c>
      <c r="F33" s="45"/>
      <c r="G33" s="45"/>
      <c r="H33" s="45"/>
      <c r="I33" s="45"/>
      <c r="J33" s="45"/>
      <c r="K33" s="45"/>
      <c r="L33" s="45"/>
      <c r="M33" t="s">
        <v>57</v>
      </c>
      <c r="AE33" s="5" t="s">
        <v>39</v>
      </c>
      <c r="AF33" s="6" t="s">
        <v>23</v>
      </c>
    </row>
    <row r="34" spans="2:32" ht="13.5">
      <c r="B34" s="49" t="s">
        <v>46</v>
      </c>
      <c r="C34" s="49"/>
      <c r="D34" s="49"/>
      <c r="E34" s="51">
        <f>((-1^MID(D7,1,1))*(2^(E31-1023))*(1+E33))</f>
        <v>-1234567.89</v>
      </c>
      <c r="F34" s="51"/>
      <c r="G34" s="51"/>
      <c r="H34" s="51"/>
      <c r="I34" s="51"/>
      <c r="J34" s="51"/>
      <c r="K34" s="51"/>
      <c r="L34" s="51"/>
      <c r="M34" t="s">
        <v>58</v>
      </c>
      <c r="AE34" s="5" t="s">
        <v>40</v>
      </c>
      <c r="AF34" s="6" t="s">
        <v>24</v>
      </c>
    </row>
    <row r="35" spans="24:32" ht="13.5">
      <c r="X35" s="2"/>
      <c r="AA35"/>
      <c r="AE35" s="5" t="s">
        <v>9</v>
      </c>
      <c r="AF35" s="6" t="s">
        <v>26</v>
      </c>
    </row>
    <row r="36" spans="2:32" ht="13.5">
      <c r="B36" s="2" t="s">
        <v>59</v>
      </c>
      <c r="C36" s="19"/>
      <c r="D36" s="19"/>
      <c r="E36" s="19"/>
      <c r="F36" s="19"/>
      <c r="G36" s="19"/>
      <c r="H36" s="19"/>
      <c r="I36" s="19"/>
      <c r="J36" s="2"/>
      <c r="K36" s="2"/>
      <c r="L36" s="2"/>
      <c r="M36" s="2"/>
      <c r="N36" s="2"/>
      <c r="O36" s="2"/>
      <c r="P36" s="2"/>
      <c r="Q36" s="2"/>
      <c r="R36" s="2"/>
      <c r="S36" s="2"/>
      <c r="T36" s="2"/>
      <c r="U36" s="2"/>
      <c r="V36" s="2"/>
      <c r="W36" s="2"/>
      <c r="X36" s="2"/>
      <c r="AA36"/>
      <c r="AE36" s="5" t="s">
        <v>10</v>
      </c>
      <c r="AF36" s="6" t="s">
        <v>25</v>
      </c>
    </row>
    <row r="37" spans="2:32" ht="13.5">
      <c r="B37" s="2" t="s">
        <v>60</v>
      </c>
      <c r="C37" s="19"/>
      <c r="D37" s="19"/>
      <c r="E37" s="19"/>
      <c r="F37" s="19"/>
      <c r="G37" s="19"/>
      <c r="H37" s="19"/>
      <c r="I37" s="19"/>
      <c r="J37" s="2"/>
      <c r="K37" s="2"/>
      <c r="L37" s="2"/>
      <c r="M37" s="2"/>
      <c r="N37" s="2"/>
      <c r="O37" s="2"/>
      <c r="P37" s="2"/>
      <c r="Q37" s="2"/>
      <c r="R37" s="2"/>
      <c r="S37" s="2"/>
      <c r="T37" s="2"/>
      <c r="U37" s="2"/>
      <c r="V37" s="2"/>
      <c r="W37" s="2"/>
      <c r="X37" s="2"/>
      <c r="AA37"/>
      <c r="AE37" s="5" t="s">
        <v>11</v>
      </c>
      <c r="AF37" s="6" t="s">
        <v>27</v>
      </c>
    </row>
    <row r="38" spans="2:32" ht="13.5">
      <c r="B38" s="2" t="s">
        <v>63</v>
      </c>
      <c r="C38" s="19"/>
      <c r="D38" s="19"/>
      <c r="E38" s="19"/>
      <c r="F38" s="19"/>
      <c r="G38" s="19"/>
      <c r="H38" s="19"/>
      <c r="I38" s="19"/>
      <c r="J38" s="2"/>
      <c r="K38" s="2"/>
      <c r="L38" s="2"/>
      <c r="M38" s="2"/>
      <c r="N38" s="2"/>
      <c r="O38" s="2"/>
      <c r="P38" s="2"/>
      <c r="Q38" s="2"/>
      <c r="R38" s="2"/>
      <c r="S38" s="2"/>
      <c r="T38" s="2"/>
      <c r="U38" s="2"/>
      <c r="V38" s="2"/>
      <c r="W38" s="2"/>
      <c r="X38" s="2"/>
      <c r="AA38"/>
      <c r="AE38" s="5" t="s">
        <v>12</v>
      </c>
      <c r="AF38" s="6" t="s">
        <v>28</v>
      </c>
    </row>
    <row r="39" spans="2:32" ht="13.5">
      <c r="B39" s="2" t="s">
        <v>61</v>
      </c>
      <c r="C39" s="19"/>
      <c r="D39" s="19"/>
      <c r="E39" s="19"/>
      <c r="F39" s="19"/>
      <c r="G39" s="19"/>
      <c r="H39" s="19"/>
      <c r="I39" s="19"/>
      <c r="J39" s="2"/>
      <c r="K39" s="2"/>
      <c r="L39" s="2"/>
      <c r="M39" s="2"/>
      <c r="N39" s="2"/>
      <c r="O39" s="2"/>
      <c r="P39" s="2"/>
      <c r="Q39" s="2"/>
      <c r="R39" s="2"/>
      <c r="S39" s="2"/>
      <c r="T39" s="2"/>
      <c r="U39" s="2"/>
      <c r="V39" s="2"/>
      <c r="W39" s="2"/>
      <c r="X39" s="2"/>
      <c r="AA39"/>
      <c r="AE39" s="5" t="s">
        <v>13</v>
      </c>
      <c r="AF39" s="6" t="s">
        <v>29</v>
      </c>
    </row>
    <row r="40" spans="2:32" ht="13.5">
      <c r="B40" s="46" t="s">
        <v>62</v>
      </c>
      <c r="C40" s="46"/>
      <c r="D40" s="46"/>
      <c r="E40" s="46"/>
      <c r="F40" s="19"/>
      <c r="Y40" s="2"/>
      <c r="Z40" s="2"/>
      <c r="AE40" s="5" t="s">
        <v>14</v>
      </c>
      <c r="AF40" s="6" t="s">
        <v>30</v>
      </c>
    </row>
    <row r="41" spans="2:26" ht="13.5">
      <c r="B41" s="47">
        <f>HEX2DEC(B40)</f>
        <v>123456</v>
      </c>
      <c r="C41" s="47"/>
      <c r="D41" s="47"/>
      <c r="E41" s="47"/>
      <c r="F41" s="19"/>
      <c r="Y41" s="2"/>
      <c r="Z41" s="2"/>
    </row>
    <row r="42" spans="2:26" ht="13.5">
      <c r="B42" s="2"/>
      <c r="C42" s="19"/>
      <c r="D42" s="19"/>
      <c r="E42" s="19"/>
      <c r="F42" s="19"/>
      <c r="Y42" s="2"/>
      <c r="Z42" s="2"/>
    </row>
    <row r="43" spans="2:6" ht="13.5">
      <c r="B43" t="s">
        <v>64</v>
      </c>
      <c r="C43" s="19"/>
      <c r="D43" s="19"/>
      <c r="E43" s="19"/>
      <c r="F43" s="19"/>
    </row>
    <row r="44" spans="2:21" ht="13.5">
      <c r="B44" s="45" t="s">
        <v>48</v>
      </c>
      <c r="C44" s="45"/>
      <c r="D44" s="47" t="str">
        <f>HEX2BIN(MID($B$2,1,1),4)&amp;HEX2BIN(MID($B$2,2,1),4)&amp;HEX2BIN(MID($B$2,3,1),4)&amp;HEX2BIN(MID($B$2,4,1),4)&amp;HEX2BIN(MID($B$2,5,1),4)&amp;HEX2BIN(MID($B$2,6,1),4)&amp;HEX2BIN(MID($B$2,7,1),4)&amp;HEX2BIN(MID($B$2,8,1),4)&amp;HEX2BIN(MID($B$2,9,1),4)&amp;HEX2BIN(MID($B$2,10,1),4)&amp;HEX2BIN(MID($B$2,11,1),4)&amp;HEX2BIN(MID($B$2,12,1),4)&amp;HEX2BIN(MID($B$2,13,1),4)&amp;HEX2BIN(MID($B$2,14,1),4)&amp;HEX2BIN(MID($B$2,15,1),4)&amp;HEX2BIN(MID($B$2,16,1),4)</f>
        <v>1100000100110010110101101000011111100011110101110000101000111101</v>
      </c>
      <c r="E44" s="47"/>
      <c r="F44" s="47"/>
      <c r="G44" s="47"/>
      <c r="H44" s="47"/>
      <c r="I44" s="47"/>
      <c r="J44" s="47"/>
      <c r="K44" s="47"/>
      <c r="L44" s="47"/>
      <c r="M44" s="47"/>
      <c r="N44" s="47"/>
      <c r="O44" s="47"/>
      <c r="P44" s="47"/>
      <c r="Q44" s="47"/>
      <c r="R44" s="47"/>
      <c r="S44" s="47"/>
      <c r="T44" s="47"/>
      <c r="U44" s="47"/>
    </row>
    <row r="45" spans="4:28" ht="13.5">
      <c r="D45" s="43" t="s">
        <v>65</v>
      </c>
      <c r="E45" s="43"/>
      <c r="F45" s="43"/>
      <c r="G45" s="43"/>
      <c r="H45" s="43"/>
      <c r="I45" s="43"/>
      <c r="J45" s="43"/>
      <c r="K45" s="43"/>
      <c r="L45" s="43"/>
      <c r="M45" s="43"/>
      <c r="N45" s="43"/>
      <c r="O45" s="43"/>
      <c r="P45" s="43"/>
      <c r="Q45" s="43"/>
      <c r="R45" s="43"/>
      <c r="S45" s="43"/>
      <c r="T45" s="43"/>
      <c r="U45" s="43"/>
      <c r="V45" s="22"/>
      <c r="W45" s="22"/>
      <c r="X45" s="22"/>
      <c r="Y45" s="22"/>
      <c r="Z45" s="22"/>
      <c r="AA45" s="22"/>
      <c r="AB45" s="22"/>
    </row>
    <row r="46" spans="4:21" ht="13.5">
      <c r="D46" s="44"/>
      <c r="E46" s="44"/>
      <c r="F46" s="44"/>
      <c r="G46" s="44"/>
      <c r="H46" s="44"/>
      <c r="I46" s="44"/>
      <c r="J46" s="44"/>
      <c r="K46" s="44"/>
      <c r="L46" s="44"/>
      <c r="M46" s="44"/>
      <c r="N46" s="44"/>
      <c r="O46" s="44"/>
      <c r="P46" s="44"/>
      <c r="Q46" s="44"/>
      <c r="R46" s="44"/>
      <c r="S46" s="44"/>
      <c r="T46" s="44"/>
      <c r="U46" s="44"/>
    </row>
    <row r="47" spans="4:21" ht="13.5">
      <c r="D47" s="44"/>
      <c r="E47" s="44"/>
      <c r="F47" s="44"/>
      <c r="G47" s="44"/>
      <c r="H47" s="44"/>
      <c r="I47" s="44"/>
      <c r="J47" s="44"/>
      <c r="K47" s="44"/>
      <c r="L47" s="44"/>
      <c r="M47" s="44"/>
      <c r="N47" s="44"/>
      <c r="O47" s="44"/>
      <c r="P47" s="44"/>
      <c r="Q47" s="44"/>
      <c r="R47" s="44"/>
      <c r="S47" s="44"/>
      <c r="T47" s="44"/>
      <c r="U47" s="44"/>
    </row>
    <row r="48" spans="4:21" ht="13.5">
      <c r="D48" s="44"/>
      <c r="E48" s="44"/>
      <c r="F48" s="44"/>
      <c r="G48" s="44"/>
      <c r="H48" s="44"/>
      <c r="I48" s="44"/>
      <c r="J48" s="44"/>
      <c r="K48" s="44"/>
      <c r="L48" s="44"/>
      <c r="M48" s="44"/>
      <c r="N48" s="44"/>
      <c r="O48" s="44"/>
      <c r="P48" s="44"/>
      <c r="Q48" s="44"/>
      <c r="R48" s="44"/>
      <c r="S48" s="44"/>
      <c r="T48" s="44"/>
      <c r="U48" s="44"/>
    </row>
    <row r="49" spans="4:21" ht="13.5">
      <c r="D49" s="44"/>
      <c r="E49" s="44"/>
      <c r="F49" s="44"/>
      <c r="G49" s="44"/>
      <c r="H49" s="44"/>
      <c r="I49" s="44"/>
      <c r="J49" s="44"/>
      <c r="K49" s="44"/>
      <c r="L49" s="44"/>
      <c r="M49" s="44"/>
      <c r="N49" s="44"/>
      <c r="O49" s="44"/>
      <c r="P49" s="44"/>
      <c r="Q49" s="44"/>
      <c r="R49" s="44"/>
      <c r="S49" s="44"/>
      <c r="T49" s="44"/>
      <c r="U49" s="44"/>
    </row>
    <row r="50" spans="4:21" ht="13.5">
      <c r="D50" s="44"/>
      <c r="E50" s="44"/>
      <c r="F50" s="44"/>
      <c r="G50" s="44"/>
      <c r="H50" s="44"/>
      <c r="I50" s="44"/>
      <c r="J50" s="44"/>
      <c r="K50" s="44"/>
      <c r="L50" s="44"/>
      <c r="M50" s="44"/>
      <c r="N50" s="44"/>
      <c r="O50" s="44"/>
      <c r="P50" s="44"/>
      <c r="Q50" s="44"/>
      <c r="R50" s="44"/>
      <c r="S50" s="44"/>
      <c r="T50" s="44"/>
      <c r="U50" s="44"/>
    </row>
    <row r="51" spans="4:21" ht="13.5">
      <c r="D51" s="44"/>
      <c r="E51" s="44"/>
      <c r="F51" s="44"/>
      <c r="G51" s="44"/>
      <c r="H51" s="44"/>
      <c r="I51" s="44"/>
      <c r="J51" s="44"/>
      <c r="K51" s="44"/>
      <c r="L51" s="44"/>
      <c r="M51" s="44"/>
      <c r="N51" s="44"/>
      <c r="O51" s="44"/>
      <c r="P51" s="44"/>
      <c r="Q51" s="44"/>
      <c r="R51" s="44"/>
      <c r="S51" s="44"/>
      <c r="T51" s="44"/>
      <c r="U51" s="44"/>
    </row>
    <row r="52" spans="4:21" ht="13.5">
      <c r="D52" s="44"/>
      <c r="E52" s="44"/>
      <c r="F52" s="44"/>
      <c r="G52" s="44"/>
      <c r="H52" s="44"/>
      <c r="I52" s="44"/>
      <c r="J52" s="44"/>
      <c r="K52" s="44"/>
      <c r="L52" s="44"/>
      <c r="M52" s="44"/>
      <c r="N52" s="44"/>
      <c r="O52" s="44"/>
      <c r="P52" s="44"/>
      <c r="Q52" s="44"/>
      <c r="R52" s="44"/>
      <c r="S52" s="44"/>
      <c r="T52" s="44"/>
      <c r="U52" s="44"/>
    </row>
    <row r="53" spans="4:21" ht="13.5">
      <c r="D53" s="44"/>
      <c r="E53" s="44"/>
      <c r="F53" s="44"/>
      <c r="G53" s="44"/>
      <c r="H53" s="44"/>
      <c r="I53" s="44"/>
      <c r="J53" s="44"/>
      <c r="K53" s="44"/>
      <c r="L53" s="44"/>
      <c r="M53" s="44"/>
      <c r="N53" s="44"/>
      <c r="O53" s="44"/>
      <c r="P53" s="44"/>
      <c r="Q53" s="44"/>
      <c r="R53" s="44"/>
      <c r="S53" s="44"/>
      <c r="T53" s="44"/>
      <c r="U53" s="44"/>
    </row>
  </sheetData>
  <mergeCells count="26">
    <mergeCell ref="B19:D20"/>
    <mergeCell ref="E20:L20"/>
    <mergeCell ref="E21:L21"/>
    <mergeCell ref="B40:E40"/>
    <mergeCell ref="E31:L31"/>
    <mergeCell ref="B31:D31"/>
    <mergeCell ref="B34:D34"/>
    <mergeCell ref="B32:D33"/>
    <mergeCell ref="E34:L34"/>
    <mergeCell ref="B21:D21"/>
    <mergeCell ref="D7:U7"/>
    <mergeCell ref="B11:C12"/>
    <mergeCell ref="B9:C9"/>
    <mergeCell ref="B10:C10"/>
    <mergeCell ref="B7:C7"/>
    <mergeCell ref="B14:C14"/>
    <mergeCell ref="B15:C16"/>
    <mergeCell ref="B18:D18"/>
    <mergeCell ref="E18:L18"/>
    <mergeCell ref="D45:U53"/>
    <mergeCell ref="E33:L33"/>
    <mergeCell ref="B28:C28"/>
    <mergeCell ref="D28:U28"/>
    <mergeCell ref="B41:E41"/>
    <mergeCell ref="B44:C44"/>
    <mergeCell ref="D44:U44"/>
  </mergeCells>
  <hyperlinks>
    <hyperlink ref="S20" r:id="rId1" display="http://sakura87.net/"/>
  </hyperlinks>
  <printOptions/>
  <pageMargins left="0.75" right="0.75" top="1" bottom="1" header="0.512" footer="0.512"/>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N24"/>
  <sheetViews>
    <sheetView workbookViewId="0" topLeftCell="A1">
      <selection activeCell="K26" sqref="K26"/>
    </sheetView>
  </sheetViews>
  <sheetFormatPr defaultColWidth="9.00390625" defaultRowHeight="13.5"/>
  <cols>
    <col min="1" max="1" width="18.375" style="1" bestFit="1" customWidth="1"/>
    <col min="2" max="2" width="8.50390625" style="39" customWidth="1"/>
    <col min="3" max="3" width="11.00390625" style="40" bestFit="1" customWidth="1"/>
    <col min="4" max="8" width="9.00390625" style="40" customWidth="1"/>
    <col min="9" max="9" width="9.00390625" style="41" customWidth="1"/>
    <col min="10" max="10" width="25.00390625" style="1" bestFit="1" customWidth="1"/>
    <col min="11" max="11" width="26.125" style="32" bestFit="1" customWidth="1"/>
    <col min="12" max="12" width="18.375" style="32" bestFit="1" customWidth="1"/>
    <col min="13" max="16384" width="9.00390625" style="1" customWidth="1"/>
  </cols>
  <sheetData>
    <row r="1" spans="1:14" ht="14.25" thickBot="1">
      <c r="A1" s="28" t="s">
        <v>67</v>
      </c>
      <c r="B1" s="37" t="s">
        <v>68</v>
      </c>
      <c r="C1" s="38" t="s">
        <v>69</v>
      </c>
      <c r="D1" s="52" t="s">
        <v>70</v>
      </c>
      <c r="E1" s="52"/>
      <c r="F1" s="52"/>
      <c r="G1" s="52"/>
      <c r="H1" s="52"/>
      <c r="I1" s="53"/>
      <c r="J1" s="28" t="s">
        <v>46</v>
      </c>
      <c r="K1" s="30" t="s">
        <v>66</v>
      </c>
      <c r="L1" s="35" t="s">
        <v>72</v>
      </c>
      <c r="M1" s="58" t="s">
        <v>112</v>
      </c>
      <c r="N1" s="58"/>
    </row>
    <row r="2" spans="1:14" ht="13.5">
      <c r="A2" s="1" t="s">
        <v>76</v>
      </c>
      <c r="B2" s="39" t="str">
        <f aca="true" t="shared" si="0" ref="B2:B16">VLOOKUP(MID(A2,1,1),$M$2:$N$17,2,0)&amp;VLOOKUP(MID(A2,2,1),$M$2:$N$17,2,0)&amp;VLOOKUP(MID(A2,3,1),$M$2:$N$17,2,0)&amp;VLOOKUP(MID(A2,4,1),$M$2:$N$17,2,0)&amp;VLOOKUP(MID(A2,5,1),$M$2:$N$17,2,0)&amp;VLOOKUP(MID(A2,6,1),$M$2:$N$17,2,0)&amp;VLOOKUP(MID(A2,7,1),$M$2:$N$17,2,0)&amp;VLOOKUP(MID(A2,8,1),$M$2:$N$17,2,0)&amp;VLOOKUP(MID(A2,9,1),$M$2:$N$17,2,0)&amp;VLOOKUP(MID(A2,10,1),$M$2:$N$17,2,0)&amp;VLOOKUP(MID(A2,11,1),$M$2:$N$17,2,0)&amp;VLOOKUP(MID(A2,12,1),$M$2:$N$17,2,0)&amp;VLOOKUP(MID(A2,13,1),$M$2:$N$17,2,0)&amp;VLOOKUP(MID(A2,14,1),$M$2:$N$17,2,0)&amp;VLOOKUP(MID(A2,15,1),$M$2:$N$17,2,0)&amp;VLOOKUP(MID(A2,16,1),$M$2:$N$17,2,0)</f>
        <v>0100000010010011010010100100010101101101010111001111101010101101</v>
      </c>
      <c r="C2" s="40">
        <f>(MID(B2,2,1)*2^10)+(MID(B2,3,1)*2^9)+(MID(B2,4,1)*2^8)+(MID(B2,5,1)*2^7)+(MID(B2,6,1)*2^6)+(MID(B2,7,1)*2^5)+(MID(B2,8,1)*2^4)+(MID(B2,9,1)*2^3)+(MID(B2,10,1)*2^2)+(MID(B2,11,1)*2^1)+(MID(B2,12,1)*2^0)</f>
        <v>1033</v>
      </c>
      <c r="D2" s="40">
        <f>(MID(B2,13,1)*(1/2^1))+(MID(B2,14,1)*(1/2^2))+(MID(B2,15,1)*(1/2^3))+(MID(B2,16,1)*(1/2^4))+(MID(B2,17,1)*(1/2^5))+(MID(B2,18,1)*(1/2^6))+(MID(B2,19,1)*(1/2^7))+(MID(B2,20,1)*(1/2^8))+(MID(B2,21,1)*(1/2^9))+(MID(B2,22,1)*(1/2^10))</f>
        <v>0.205078125</v>
      </c>
      <c r="E2" s="40">
        <f>(MID(B2,23,1)*(1/2^11))+(MID(B2,24,1)*(1/2^12))+(MID(B2,25,1)*(1/2^13))+(MID(B2,26,1)*(1/2^14))+(MID(B2,27,1)*(1/2^15))+(MID(B2,28,1)*(1/2^16))+(MID(B2,29,1)*(1/2^17))+(MID(B2,30,1)*(1/2^18))+(MID(B2,31,1)*(1/2^19))+(MID(B2,32,1)*(1/2^20))</f>
        <v>0.0005540847778320312</v>
      </c>
      <c r="F2" s="40">
        <f>(MID(B2,33,1)*(1/2^21))+(MID(B2,34,1)*(1/2^22))+(MID(B2,35,1)*(1/2^23))+(MID(B2,36,1)*(1/2^24))+(MID(B2,37,1)*(1/2^25))+(MID(B2,38,1)*(1/2^26))+(MID(B2,39,1)*(1/2^27))+(MID(B2,40,1)*(1/2^28))+(MID(B2,41,1)*(1/2^29))+(MID(B2,42,1)*(1/2^30))</f>
        <v>4.069879651069641E-07</v>
      </c>
      <c r="G2" s="40">
        <f>(MID(B2,43,1)*(1/2^31))+(MID(B2,44,1)*(1/2^32))+(MID(B2,45,1)*(1/2^33))+(MID(B2,46,1)*(1/2^34))+(MID(B2,47,1)*(1/2^35))+(MID(B2,48,1)*(1/2^36))+(MID(B2,49,1)*(1/2^37))+(MID(B2,50,1)*(1/2^38))+(MID(B2,51,1)*(1/2^39))+(MID(B2,52,1)*(1/2^40))</f>
        <v>4.210960469208658E-10</v>
      </c>
      <c r="H2" s="40">
        <f>(MID(B2,53,1)*(1/2^41))+(MID(B2,54,1)*(1/2^42))+(MID(B2,55,1)*(1/2^43))+(MID(B2,56,1)*(1/2^44))+(MID(B2,57,1)*(1/2^45))+(MID(B2,58,1)*(1/2^46))+(MID(B2,59,1)*(1/2^47))+(MID(B2,60,1)*(1/2^48))+(MID(B2,61,1)*(1/2^49))+(MID(B2,62,1)*(1/2^50))</f>
        <v>6.066258606551855E-13</v>
      </c>
      <c r="I2" s="41">
        <f>(MID(B2,63,1)*(1/2^51))+(MID(B2,64,1)*(1/2^52))</f>
        <v>2.220446049250313E-16</v>
      </c>
      <c r="J2" s="27">
        <f>((-1^MID(B2,1,1))*(2^(C2-1023))*(1+SUM(D2:I2)))</f>
        <v>1234.5678</v>
      </c>
      <c r="K2" s="31">
        <v>1234.5678</v>
      </c>
      <c r="L2" s="36" t="str">
        <f>IF(K2=J2,"合格","不合格")</f>
        <v>合格</v>
      </c>
      <c r="M2" s="33" t="s">
        <v>74</v>
      </c>
      <c r="N2" s="34" t="s">
        <v>75</v>
      </c>
    </row>
    <row r="3" spans="1:14" ht="13.5">
      <c r="A3" s="1" t="s">
        <v>0</v>
      </c>
      <c r="B3" s="39" t="str">
        <f t="shared" si="0"/>
        <v>0100000001100000000000000000000000000000000000000000000000000000</v>
      </c>
      <c r="C3" s="40">
        <f aca="true" t="shared" si="1" ref="C3:C16">(MID(B3,2,1)*2^10)+(MID(B3,3,1)*2^9)+(MID(B3,4,1)*2^8)+(MID(B3,5,1)*2^7)+(MID(B3,6,1)*2^6)+(MID(B3,7,1)*2^5)+(MID(B3,8,1)*2^4)+(MID(B3,9,1)*2^3)+(MID(B3,10,1)*2^2)+(MID(B3,11,1)*2^1)+(MID(B3,12,1)*2^0)</f>
        <v>1030</v>
      </c>
      <c r="D3" s="40">
        <f aca="true" t="shared" si="2" ref="D3:D11">(MID(B3,13,1)*(1/2^1))+(MID(B3,14,1)*(1/2^2))+(MID(B3,15,1)*(1/2^3))+(MID(B3,16,1)*(1/2^4))+(MID(B3,17,1)*(1/2^5))+(MID(B3,18,1)*(1/2^6))+(MID(B3,19,1)*(1/2^7))+(MID(B3,20,1)*(1/2^8))+(MID(B3,21,1)*(1/2^9))+(MID(B3,22,1)*(1/2^10))</f>
        <v>0</v>
      </c>
      <c r="E3" s="40">
        <f aca="true" t="shared" si="3" ref="E3:E11">(MID(B3,23,1)*(1/2^11))+(MID(B3,24,1)*(1/2^12))+(MID(B3,25,1)*(1/2^13))+(MID(B3,26,1)*(1/2^14))+(MID(B3,27,1)*(1/2^15))+(MID(B3,28,1)*(1/2^16))+(MID(B3,29,1)*(1/2^17))+(MID(B3,30,1)*(1/2^18))+(MID(B3,31,1)*(1/2^19))+(MID(B3,32,1)*(1/2^20))</f>
        <v>0</v>
      </c>
      <c r="F3" s="40">
        <f aca="true" t="shared" si="4" ref="F3:F11">(MID(B3,33,1)*(1/2^21))+(MID(B3,34,1)*(1/2^22))+(MID(B3,35,1)*(1/2^23))+(MID(B3,36,1)*(1/2^24))+(MID(B3,37,1)*(1/2^25))+(MID(B3,38,1)*(1/2^26))+(MID(B3,39,1)*(1/2^27))+(MID(B3,40,1)*(1/2^28))+(MID(B3,41,1)*(1/2^29))+(MID(B3,42,1)*(1/2^30))</f>
        <v>0</v>
      </c>
      <c r="G3" s="40">
        <f aca="true" t="shared" si="5" ref="G3:G11">(MID(B3,43,1)*(1/2^31))+(MID(B3,44,1)*(1/2^32))+(MID(B3,45,1)*(1/2^33))+(MID(B3,46,1)*(1/2^34))+(MID(B3,47,1)*(1/2^35))+(MID(B3,48,1)*(1/2^36))+(MID(B3,49,1)*(1/2^37))+(MID(B3,50,1)*(1/2^38))+(MID(B3,51,1)*(1/2^39))+(MID(B3,52,1)*(1/2^40))</f>
        <v>0</v>
      </c>
      <c r="H3" s="40">
        <f aca="true" t="shared" si="6" ref="H3:H11">(MID(B3,53,1)*(1/2^41))+(MID(B3,54,1)*(1/2^42))+(MID(B3,55,1)*(1/2^43))+(MID(B3,56,1)*(1/2^44))+(MID(B3,57,1)*(1/2^45))+(MID(B3,58,1)*(1/2^46))+(MID(B3,59,1)*(1/2^47))+(MID(B3,60,1)*(1/2^48))+(MID(B3,61,1)*(1/2^49))+(MID(B3,62,1)*(1/2^50))</f>
        <v>0</v>
      </c>
      <c r="I3" s="41">
        <f aca="true" t="shared" si="7" ref="I3:I11">(MID(B3,63,1)*(1/2^51))+(MID(B3,64,1)*(1/2^52))</f>
        <v>0</v>
      </c>
      <c r="J3" s="27">
        <f aca="true" t="shared" si="8" ref="J3:J16">((-1^MID(B3,1,1))*(2^(C3-1023))*(1+SUM(D3:I3)))</f>
        <v>128</v>
      </c>
      <c r="K3" s="31">
        <v>128</v>
      </c>
      <c r="L3" s="36" t="str">
        <f aca="true" t="shared" si="9" ref="L3:L16">IF(K3=J3,"合格","不合格")</f>
        <v>合格</v>
      </c>
      <c r="M3" s="25" t="s">
        <v>77</v>
      </c>
      <c r="N3" s="26" t="s">
        <v>78</v>
      </c>
    </row>
    <row r="4" spans="1:14" ht="13.5">
      <c r="A4" s="1" t="s">
        <v>1</v>
      </c>
      <c r="B4" s="39" t="str">
        <f t="shared" si="0"/>
        <v>1100000011110000000000000000001010011111000101101011000100011100</v>
      </c>
      <c r="C4" s="40">
        <f t="shared" si="1"/>
        <v>1039</v>
      </c>
      <c r="D4" s="40">
        <f t="shared" si="2"/>
        <v>0</v>
      </c>
      <c r="E4" s="40">
        <f t="shared" si="3"/>
        <v>1.9073486328125E-06</v>
      </c>
      <c r="F4" s="40">
        <f t="shared" si="4"/>
        <v>5.923211574554443E-07</v>
      </c>
      <c r="G4" s="40">
        <f t="shared" si="5"/>
        <v>3.3014657674357295E-10</v>
      </c>
      <c r="H4" s="40">
        <f t="shared" si="6"/>
        <v>6.306066779870889E-14</v>
      </c>
      <c r="I4" s="41">
        <f t="shared" si="7"/>
        <v>0</v>
      </c>
      <c r="J4" s="27">
        <f t="shared" si="8"/>
        <v>-65536.16384</v>
      </c>
      <c r="K4" s="31">
        <v>-65536.16384</v>
      </c>
      <c r="L4" s="36" t="str">
        <f t="shared" si="9"/>
        <v>合格</v>
      </c>
      <c r="M4" s="25" t="s">
        <v>79</v>
      </c>
      <c r="N4" s="26" t="s">
        <v>80</v>
      </c>
    </row>
    <row r="5" spans="1:14" ht="13.5">
      <c r="A5" s="1" t="s">
        <v>2</v>
      </c>
      <c r="B5" s="39" t="str">
        <f t="shared" si="0"/>
        <v>1100000011110000000000000000000111111001101011011101001101110100</v>
      </c>
      <c r="C5" s="40">
        <f t="shared" si="1"/>
        <v>1039</v>
      </c>
      <c r="D5" s="40">
        <f t="shared" si="2"/>
        <v>0</v>
      </c>
      <c r="E5" s="40">
        <f t="shared" si="3"/>
        <v>9.5367431640625E-07</v>
      </c>
      <c r="F5" s="40">
        <f t="shared" si="4"/>
        <v>9.294599294662476E-07</v>
      </c>
      <c r="G5" s="40">
        <f t="shared" si="5"/>
        <v>6.666596163995564E-10</v>
      </c>
      <c r="H5" s="40">
        <f t="shared" si="6"/>
        <v>1.9628743075372768E-13</v>
      </c>
      <c r="I5" s="41">
        <f t="shared" si="7"/>
        <v>0</v>
      </c>
      <c r="J5" s="27">
        <f t="shared" si="8"/>
        <v>-65536.123456789</v>
      </c>
      <c r="K5" s="31">
        <v>-65536.123456789</v>
      </c>
      <c r="L5" s="36" t="str">
        <f t="shared" si="9"/>
        <v>合格</v>
      </c>
      <c r="M5" s="25" t="s">
        <v>81</v>
      </c>
      <c r="N5" s="26" t="s">
        <v>82</v>
      </c>
    </row>
    <row r="6" spans="1:14" ht="13.5">
      <c r="A6" s="1" t="s">
        <v>3</v>
      </c>
      <c r="B6" s="39" t="str">
        <f t="shared" si="0"/>
        <v>0011111111100110000000110011001111111100100001101100111010111100</v>
      </c>
      <c r="C6" s="40">
        <f t="shared" si="1"/>
        <v>1022</v>
      </c>
      <c r="D6" s="40">
        <f t="shared" si="2"/>
        <v>0.375</v>
      </c>
      <c r="E6" s="40">
        <f t="shared" si="3"/>
        <v>0.0007810592651367188</v>
      </c>
      <c r="F6" s="40">
        <f t="shared" si="4"/>
        <v>9.406358003616333E-07</v>
      </c>
      <c r="G6" s="40">
        <f t="shared" si="5"/>
        <v>9.822542779147625E-11</v>
      </c>
      <c r="H6" s="40">
        <f t="shared" si="6"/>
        <v>8.375522497772181E-13</v>
      </c>
      <c r="I6" s="41">
        <f t="shared" si="7"/>
        <v>0</v>
      </c>
      <c r="J6" s="27">
        <f t="shared" si="8"/>
        <v>0.687891</v>
      </c>
      <c r="K6" s="31">
        <v>0.687891</v>
      </c>
      <c r="L6" s="36" t="str">
        <f t="shared" si="9"/>
        <v>合格</v>
      </c>
      <c r="M6" s="25" t="s">
        <v>83</v>
      </c>
      <c r="N6" s="26" t="s">
        <v>84</v>
      </c>
    </row>
    <row r="7" spans="1:14" ht="13.5">
      <c r="A7" s="1" t="s">
        <v>4</v>
      </c>
      <c r="B7" s="39" t="str">
        <f t="shared" si="0"/>
        <v>0100000001010110100000110011001100110011001100110011001100110011</v>
      </c>
      <c r="C7" s="40">
        <f t="shared" si="1"/>
        <v>1029</v>
      </c>
      <c r="D7" s="40">
        <f t="shared" si="2"/>
        <v>0.40625</v>
      </c>
      <c r="E7" s="40">
        <f t="shared" si="3"/>
        <v>0.0007810592651367188</v>
      </c>
      <c r="F7" s="40">
        <f t="shared" si="4"/>
        <v>1.8998980522155762E-07</v>
      </c>
      <c r="G7" s="40">
        <f t="shared" si="5"/>
        <v>7.448761607520282E-10</v>
      </c>
      <c r="H7" s="40">
        <f t="shared" si="6"/>
        <v>1.8118839761882555E-13</v>
      </c>
      <c r="I7" s="41">
        <f t="shared" si="7"/>
        <v>6.661338147750939E-16</v>
      </c>
      <c r="J7" s="27">
        <f t="shared" si="8"/>
        <v>90.05</v>
      </c>
      <c r="K7" s="31">
        <v>90.05</v>
      </c>
      <c r="L7" s="36" t="str">
        <f t="shared" si="9"/>
        <v>合格</v>
      </c>
      <c r="M7" s="25" t="s">
        <v>85</v>
      </c>
      <c r="N7" s="26" t="s">
        <v>86</v>
      </c>
    </row>
    <row r="8" spans="1:14" ht="13.5">
      <c r="A8" s="1" t="s">
        <v>5</v>
      </c>
      <c r="B8" s="39" t="str">
        <f t="shared" si="0"/>
        <v>0100000001011101111110101101101010111001111101010101100110110100</v>
      </c>
      <c r="C8" s="40">
        <f t="shared" si="1"/>
        <v>1029</v>
      </c>
      <c r="D8" s="40">
        <f t="shared" si="2"/>
        <v>0.873046875</v>
      </c>
      <c r="E8" s="40">
        <f t="shared" si="3"/>
        <v>0.0006961822509765625</v>
      </c>
      <c r="F8" s="40">
        <f t="shared" si="4"/>
        <v>6.919726729393005E-07</v>
      </c>
      <c r="G8" s="40">
        <f t="shared" si="5"/>
        <v>7.757989806123078E-10</v>
      </c>
      <c r="H8" s="40">
        <f t="shared" si="6"/>
        <v>5.515587986337778E-13</v>
      </c>
      <c r="I8" s="41">
        <f t="shared" si="7"/>
        <v>0</v>
      </c>
      <c r="J8" s="27">
        <f t="shared" si="8"/>
        <v>119.9196</v>
      </c>
      <c r="K8" s="31">
        <v>119.9196</v>
      </c>
      <c r="L8" s="36" t="str">
        <f t="shared" si="9"/>
        <v>合格</v>
      </c>
      <c r="M8" s="25" t="s">
        <v>87</v>
      </c>
      <c r="N8" s="26" t="s">
        <v>88</v>
      </c>
    </row>
    <row r="9" spans="1:14" ht="13.5">
      <c r="A9" s="1" t="s">
        <v>6</v>
      </c>
      <c r="B9" s="39" t="str">
        <f t="shared" si="0"/>
        <v>0100000001010111101001110110010001011010000111001010110000001000</v>
      </c>
      <c r="C9" s="40">
        <f t="shared" si="1"/>
        <v>1029</v>
      </c>
      <c r="D9" s="40">
        <f t="shared" si="2"/>
        <v>0.4775390625</v>
      </c>
      <c r="E9" s="40">
        <f t="shared" si="3"/>
        <v>0.000827789306640625</v>
      </c>
      <c r="F9" s="40">
        <f t="shared" si="4"/>
        <v>3.3527612686157227E-07</v>
      </c>
      <c r="G9" s="40">
        <f t="shared" si="5"/>
        <v>4.1654857341200113E-10</v>
      </c>
      <c r="H9" s="40">
        <f t="shared" si="6"/>
        <v>6.838973831690964E-13</v>
      </c>
      <c r="I9" s="41">
        <f t="shared" si="7"/>
        <v>0</v>
      </c>
      <c r="J9" s="27">
        <f t="shared" si="8"/>
        <v>94.6155</v>
      </c>
      <c r="K9" s="31">
        <v>94.6155</v>
      </c>
      <c r="L9" s="36" t="str">
        <f t="shared" si="9"/>
        <v>合格</v>
      </c>
      <c r="M9" s="25" t="s">
        <v>89</v>
      </c>
      <c r="N9" s="26" t="s">
        <v>90</v>
      </c>
    </row>
    <row r="10" spans="1:14" ht="13.5">
      <c r="A10" s="1" t="s">
        <v>7</v>
      </c>
      <c r="B10" s="39" t="str">
        <f t="shared" si="0"/>
        <v>0100000111111001110111111100111011011001000100000000000000000000</v>
      </c>
      <c r="C10" s="40">
        <f t="shared" si="1"/>
        <v>1055</v>
      </c>
      <c r="D10" s="40">
        <f t="shared" si="2"/>
        <v>0.6162109375</v>
      </c>
      <c r="E10" s="40">
        <f t="shared" si="3"/>
        <v>0.0009288787841796875</v>
      </c>
      <c r="F10" s="40">
        <f t="shared" si="4"/>
        <v>8.083879947662354E-07</v>
      </c>
      <c r="G10" s="40">
        <f t="shared" si="5"/>
        <v>2.3283064365386963E-10</v>
      </c>
      <c r="H10" s="40">
        <f t="shared" si="6"/>
        <v>0</v>
      </c>
      <c r="I10" s="41">
        <f t="shared" si="7"/>
        <v>0</v>
      </c>
      <c r="J10" s="27">
        <f t="shared" si="8"/>
        <v>6945566097</v>
      </c>
      <c r="K10" s="31">
        <v>6945566097</v>
      </c>
      <c r="L10" s="36" t="str">
        <f t="shared" si="9"/>
        <v>合格</v>
      </c>
      <c r="M10" s="25" t="s">
        <v>91</v>
      </c>
      <c r="N10" s="26" t="s">
        <v>92</v>
      </c>
    </row>
    <row r="11" spans="1:14" ht="13.5">
      <c r="A11" s="1" t="s">
        <v>8</v>
      </c>
      <c r="B11" s="39" t="str">
        <f t="shared" si="0"/>
        <v>0100000111010100000110110100111000011100000000000000000000000000</v>
      </c>
      <c r="C11" s="40">
        <f t="shared" si="1"/>
        <v>1053</v>
      </c>
      <c r="D11" s="40">
        <f t="shared" si="2"/>
        <v>0.255859375</v>
      </c>
      <c r="E11" s="40">
        <f t="shared" si="3"/>
        <v>0.0008068084716796875</v>
      </c>
      <c r="F11" s="40">
        <f t="shared" si="4"/>
        <v>1.043081283569336E-07</v>
      </c>
      <c r="G11" s="40">
        <f t="shared" si="5"/>
        <v>0</v>
      </c>
      <c r="H11" s="40">
        <f t="shared" si="6"/>
        <v>0</v>
      </c>
      <c r="I11" s="41">
        <f t="shared" si="7"/>
        <v>0</v>
      </c>
      <c r="J11" s="27">
        <f t="shared" si="8"/>
        <v>1349335152</v>
      </c>
      <c r="K11" s="31">
        <v>1349335152</v>
      </c>
      <c r="L11" s="36" t="str">
        <f t="shared" si="9"/>
        <v>合格</v>
      </c>
      <c r="M11" s="25" t="s">
        <v>93</v>
      </c>
      <c r="N11" s="26" t="s">
        <v>94</v>
      </c>
    </row>
    <row r="12" spans="1:14" ht="13.5">
      <c r="A12" s="1" t="s">
        <v>73</v>
      </c>
      <c r="B12" s="39" t="str">
        <f t="shared" si="0"/>
        <v>0100000000001001001000011111101101010100010100100100010101010000</v>
      </c>
      <c r="C12" s="40">
        <f t="shared" si="1"/>
        <v>1024</v>
      </c>
      <c r="D12" s="40">
        <f>(MID(B12,13,1)*(1/2^1))+(MID(B12,14,1)*(1/2^2))+(MID(B12,15,1)*(1/2^3))+(MID(B12,16,1)*(1/2^4))+(MID(B12,17,1)*(1/2^5))+(MID(B12,18,1)*(1/2^6))+(MID(B12,19,1)*(1/2^7))+(MID(B12,20,1)*(1/2^8))+(MID(B12,21,1)*(1/2^9))+(MID(B12,22,1)*(1/2^10))</f>
        <v>0.5703125</v>
      </c>
      <c r="E12" s="40">
        <f>(MID(B12,23,1)*(1/2^11))+(MID(B12,24,1)*(1/2^12))+(MID(B12,25,1)*(1/2^13))+(MID(B12,26,1)*(1/2^14))+(MID(B12,27,1)*(1/2^15))+(MID(B12,28,1)*(1/2^16))+(MID(B12,29,1)*(1/2^17))+(MID(B12,30,1)*(1/2^18))+(MID(B12,31,1)*(1/2^19))+(MID(B12,32,1)*(1/2^20))</f>
        <v>0.00048351287841796875</v>
      </c>
      <c r="F12" s="40">
        <f>(MID(B12,33,1)*(1/2^21))+(MID(B12,34,1)*(1/2^22))+(MID(B12,35,1)*(1/2^23))+(MID(B12,36,1)*(1/2^24))+(MID(B12,37,1)*(1/2^25))+(MID(B12,38,1)*(1/2^26))+(MID(B12,39,1)*(1/2^27))+(MID(B12,40,1)*(1/2^28))+(MID(B12,41,1)*(1/2^29))+(MID(B12,42,1)*(1/2^30))</f>
        <v>3.1385570764541626E-07</v>
      </c>
      <c r="G12" s="40">
        <f>(MID(B12,43,1)*(1/2^31))+(MID(B12,44,1)*(1/2^32))+(MID(B12,45,1)*(1/2^33))+(MID(B12,46,1)*(1/2^34))+(MID(B12,47,1)*(1/2^35))+(MID(B12,48,1)*(1/2^36))+(MID(B12,49,1)*(1/2^37))+(MID(B12,50,1)*(1/2^38))+(MID(B12,51,1)*(1/2^39))+(MID(B12,52,1)*(1/2^40))</f>
        <v>2.6557245291769505E-10</v>
      </c>
      <c r="H12" s="40">
        <f>(MID(B12,53,1)*(1/2^41))+(MID(B12,54,1)*(1/2^42))+(MID(B12,55,1)*(1/2^43))+(MID(B12,56,1)*(1/2^44))+(MID(B12,57,1)*(1/2^45))+(MID(B12,58,1)*(1/2^46))+(MID(B12,59,1)*(1/2^47))+(MID(B12,60,1)*(1/2^48))+(MID(B12,61,1)*(1/2^49))+(MID(B12,62,1)*(1/2^50))</f>
        <v>3.019806626980426E-13</v>
      </c>
      <c r="I12" s="41">
        <f>(MID(B12,63,1)*(1/2^51))+(MID(B12,64,1)*(1/2^52))</f>
        <v>0</v>
      </c>
      <c r="J12" s="27">
        <f t="shared" si="8"/>
        <v>3.141592654</v>
      </c>
      <c r="K12" s="31">
        <v>3.141592654</v>
      </c>
      <c r="L12" s="36" t="str">
        <f t="shared" si="9"/>
        <v>合格</v>
      </c>
      <c r="M12" s="25" t="s">
        <v>95</v>
      </c>
      <c r="N12" s="26" t="s">
        <v>96</v>
      </c>
    </row>
    <row r="13" spans="1:14" ht="13.5">
      <c r="A13" s="1" t="s">
        <v>99</v>
      </c>
      <c r="B13" s="39" t="str">
        <f t="shared" si="0"/>
        <v>0011111110111110111011101010001101011000101011001000101111011100</v>
      </c>
      <c r="C13" s="40">
        <f t="shared" si="1"/>
        <v>1019</v>
      </c>
      <c r="D13" s="40">
        <f>(MID(B13,13,1)*(1/2^1))+(MID(B13,14,1)*(1/2^2))+(MID(B13,15,1)*(1/2^3))+(MID(B13,16,1)*(1/2^4))+(MID(B13,17,1)*(1/2^5))+(MID(B13,18,1)*(1/2^6))+(MID(B13,19,1)*(1/2^7))+(MID(B13,20,1)*(1/2^8))+(MID(B13,21,1)*(1/2^9))+(MID(B13,22,1)*(1/2^10))</f>
        <v>0.9326171875</v>
      </c>
      <c r="E13" s="40">
        <f>(MID(B13,23,1)*(1/2^11))+(MID(B13,24,1)*(1/2^12))+(MID(B13,25,1)*(1/2^13))+(MID(B13,26,1)*(1/2^14))+(MID(B13,27,1)*(1/2^15))+(MID(B13,28,1)*(1/2^16))+(MID(B13,29,1)*(1/2^17))+(MID(B13,30,1)*(1/2^18))+(MID(B13,31,1)*(1/2^19))+(MID(B13,32,1)*(1/2^20))</f>
        <v>0.0006437301635742188</v>
      </c>
      <c r="F13" s="40">
        <f>(MID(B13,33,1)*(1/2^21))+(MID(B13,34,1)*(1/2^22))+(MID(B13,35,1)*(1/2^23))+(MID(B13,36,1)*(1/2^24))+(MID(B13,37,1)*(1/2^25))+(MID(B13,38,1)*(1/2^26))+(MID(B13,39,1)*(1/2^27))+(MID(B13,40,1)*(1/2^28))+(MID(B13,41,1)*(1/2^29))+(MID(B13,42,1)*(1/2^30))</f>
        <v>3.296881914138794E-07</v>
      </c>
      <c r="G13" s="40">
        <f>(MID(B13,43,1)*(1/2^31))+(MID(B13,44,1)*(1/2^32))+(MID(B13,45,1)*(1/2^33))+(MID(B13,46,1)*(1/2^34))+(MID(B13,47,1)*(1/2^35))+(MID(B13,48,1)*(1/2^36))+(MID(B13,49,1)*(1/2^37))+(MID(B13,50,1)*(1/2^38))+(MID(B13,51,1)*(1/2^39))+(MID(B13,52,1)*(1/2^40))</f>
        <v>6.475602276623249E-10</v>
      </c>
      <c r="H13" s="40">
        <f>(MID(B13,53,1)*(1/2^41))+(MID(B13,54,1)*(1/2^42))+(MID(B13,55,1)*(1/2^43))+(MID(B13,56,1)*(1/2^44))+(MID(B13,57,1)*(1/2^45))+(MID(B13,58,1)*(1/2^46))+(MID(B13,59,1)*(1/2^47))+(MID(B13,60,1)*(1/2^48))+(MID(B13,61,1)*(1/2^49))+(MID(B13,62,1)*(1/2^50))</f>
        <v>6.741274205523951E-13</v>
      </c>
      <c r="I13" s="41">
        <f>(MID(B13,63,1)*(1/2^51))+(MID(B13,64,1)*(1/2^52))</f>
        <v>0</v>
      </c>
      <c r="J13" s="27">
        <f t="shared" si="8"/>
        <v>0.120828828</v>
      </c>
      <c r="K13" s="31">
        <v>0.120828828</v>
      </c>
      <c r="L13" s="36" t="str">
        <f t="shared" si="9"/>
        <v>合格</v>
      </c>
      <c r="M13" s="25" t="s">
        <v>97</v>
      </c>
      <c r="N13" s="26" t="s">
        <v>98</v>
      </c>
    </row>
    <row r="14" spans="1:14" ht="13.5">
      <c r="A14" s="1" t="s">
        <v>108</v>
      </c>
      <c r="B14" s="39" t="str">
        <f t="shared" si="0"/>
        <v>0100000101110011001100000010100111110010100101011110100111100010</v>
      </c>
      <c r="C14" s="40">
        <f t="shared" si="1"/>
        <v>1047</v>
      </c>
      <c r="D14" s="40">
        <f>(MID(B14,13,1)*(1/2^1))+(MID(B14,14,1)*(1/2^2))+(MID(B14,15,1)*(1/2^3))+(MID(B14,16,1)*(1/2^4))+(MID(B14,17,1)*(1/2^5))+(MID(B14,18,1)*(1/2^6))+(MID(B14,19,1)*(1/2^7))+(MID(B14,20,1)*(1/2^8))+(MID(B14,21,1)*(1/2^9))+(MID(B14,22,1)*(1/2^10))</f>
        <v>0.19921875</v>
      </c>
      <c r="E14" s="40">
        <f>(MID(B14,23,1)*(1/2^11))+(MID(B14,24,1)*(1/2^12))+(MID(B14,25,1)*(1/2^13))+(MID(B14,26,1)*(1/2^14))+(MID(B14,27,1)*(1/2^15))+(MID(B14,28,1)*(1/2^16))+(MID(B14,29,1)*(1/2^17))+(MID(B14,30,1)*(1/2^18))+(MID(B14,31,1)*(1/2^19))+(MID(B14,32,1)*(1/2^20))</f>
        <v>3.910064697265625E-05</v>
      </c>
      <c r="F14" s="40">
        <f>(MID(B14,33,1)*(1/2^21))+(MID(B14,34,1)*(1/2^22))+(MID(B14,35,1)*(1/2^23))+(MID(B14,36,1)*(1/2^24))+(MID(B14,37,1)*(1/2^25))+(MID(B14,38,1)*(1/2^26))+(MID(B14,39,1)*(1/2^27))+(MID(B14,40,1)*(1/2^28))+(MID(B14,41,1)*(1/2^29))+(MID(B14,42,1)*(1/2^30))</f>
        <v>9.033828973770142E-07</v>
      </c>
      <c r="G14" s="40">
        <f>(MID(B14,43,1)*(1/2^31))+(MID(B14,44,1)*(1/2^32))+(MID(B14,45,1)*(1/2^33))+(MID(B14,46,1)*(1/2^34))+(MID(B14,47,1)*(1/2^35))+(MID(B14,48,1)*(1/2^36))+(MID(B14,49,1)*(1/2^37))+(MID(B14,50,1)*(1/2^38))+(MID(B14,51,1)*(1/2^39))+(MID(B14,52,1)*(1/2^40))</f>
        <v>3.183231456205249E-10</v>
      </c>
      <c r="H14" s="40">
        <f>(MID(B14,53,1)*(1/2^41))+(MID(B14,54,1)*(1/2^42))+(MID(B14,55,1)*(1/2^43))+(MID(B14,56,1)*(1/2^44))+(MID(B14,57,1)*(1/2^45))+(MID(B14,58,1)*(1/2^46))+(MID(B14,59,1)*(1/2^47))+(MID(B14,60,1)*(1/2^48))+(MID(B14,61,1)*(1/2^49))+(MID(B14,62,1)*(1/2^50))</f>
        <v>5.613287612504791E-13</v>
      </c>
      <c r="I14" s="41">
        <f>(MID(B14,63,1)*(1/2^51))+(MID(B14,64,1)*(1/2^52))</f>
        <v>4.440892098500626E-16</v>
      </c>
      <c r="J14" s="27">
        <f t="shared" si="8"/>
        <v>20120223.1616</v>
      </c>
      <c r="K14" s="31">
        <v>20120223.1616</v>
      </c>
      <c r="L14" s="36" t="str">
        <f t="shared" si="9"/>
        <v>合格</v>
      </c>
      <c r="M14" s="25" t="s">
        <v>100</v>
      </c>
      <c r="N14" s="26" t="s">
        <v>101</v>
      </c>
    </row>
    <row r="15" spans="1:14" ht="13.5">
      <c r="A15" s="29" t="s">
        <v>109</v>
      </c>
      <c r="B15" s="39" t="str">
        <f t="shared" si="0"/>
        <v>0100000010010000000000000000000000000000000000000000000000000000</v>
      </c>
      <c r="C15" s="40">
        <f t="shared" si="1"/>
        <v>1033</v>
      </c>
      <c r="D15" s="40">
        <f>(MID(B15,13,1)*(1/2^1))+(MID(B15,14,1)*(1/2^2))+(MID(B15,15,1)*(1/2^3))+(MID(B15,16,1)*(1/2^4))+(MID(B15,17,1)*(1/2^5))+(MID(B15,18,1)*(1/2^6))+(MID(B15,19,1)*(1/2^7))+(MID(B15,20,1)*(1/2^8))+(MID(B15,21,1)*(1/2^9))+(MID(B15,22,1)*(1/2^10))</f>
        <v>0</v>
      </c>
      <c r="E15" s="40">
        <f>(MID(B15,23,1)*(1/2^11))+(MID(B15,24,1)*(1/2^12))+(MID(B15,25,1)*(1/2^13))+(MID(B15,26,1)*(1/2^14))+(MID(B15,27,1)*(1/2^15))+(MID(B15,28,1)*(1/2^16))+(MID(B15,29,1)*(1/2^17))+(MID(B15,30,1)*(1/2^18))+(MID(B15,31,1)*(1/2^19))+(MID(B15,32,1)*(1/2^20))</f>
        <v>0</v>
      </c>
      <c r="F15" s="40">
        <f>(MID(B15,33,1)*(1/2^21))+(MID(B15,34,1)*(1/2^22))+(MID(B15,35,1)*(1/2^23))+(MID(B15,36,1)*(1/2^24))+(MID(B15,37,1)*(1/2^25))+(MID(B15,38,1)*(1/2^26))+(MID(B15,39,1)*(1/2^27))+(MID(B15,40,1)*(1/2^28))+(MID(B15,41,1)*(1/2^29))+(MID(B15,42,1)*(1/2^30))</f>
        <v>0</v>
      </c>
      <c r="G15" s="40">
        <f>(MID(B15,43,1)*(1/2^31))+(MID(B15,44,1)*(1/2^32))+(MID(B15,45,1)*(1/2^33))+(MID(B15,46,1)*(1/2^34))+(MID(B15,47,1)*(1/2^35))+(MID(B15,48,1)*(1/2^36))+(MID(B15,49,1)*(1/2^37))+(MID(B15,50,1)*(1/2^38))+(MID(B15,51,1)*(1/2^39))+(MID(B15,52,1)*(1/2^40))</f>
        <v>0</v>
      </c>
      <c r="H15" s="40">
        <f>(MID(B15,53,1)*(1/2^41))+(MID(B15,54,1)*(1/2^42))+(MID(B15,55,1)*(1/2^43))+(MID(B15,56,1)*(1/2^44))+(MID(B15,57,1)*(1/2^45))+(MID(B15,58,1)*(1/2^46))+(MID(B15,59,1)*(1/2^47))+(MID(B15,60,1)*(1/2^48))+(MID(B15,61,1)*(1/2^49))+(MID(B15,62,1)*(1/2^50))</f>
        <v>0</v>
      </c>
      <c r="I15" s="41">
        <f>(MID(B15,63,1)*(1/2^51))+(MID(B15,64,1)*(1/2^52))</f>
        <v>0</v>
      </c>
      <c r="J15" s="27">
        <f t="shared" si="8"/>
        <v>1024</v>
      </c>
      <c r="K15" s="31">
        <v>1024</v>
      </c>
      <c r="L15" s="36" t="str">
        <f t="shared" si="9"/>
        <v>合格</v>
      </c>
      <c r="M15" s="25" t="s">
        <v>102</v>
      </c>
      <c r="N15" s="26" t="s">
        <v>103</v>
      </c>
    </row>
    <row r="16" spans="1:14" ht="13.5">
      <c r="A16" s="1" t="s">
        <v>110</v>
      </c>
      <c r="B16" s="39" t="str">
        <f t="shared" si="0"/>
        <v>1011111111110011110000001100101000101010010110110001110101011101</v>
      </c>
      <c r="C16" s="40">
        <f t="shared" si="1"/>
        <v>1023</v>
      </c>
      <c r="D16" s="40">
        <f>(MID(B16,13,1)*(1/2^1))+(MID(B16,14,1)*(1/2^2))+(MID(B16,15,1)*(1/2^3))+(MID(B16,16,1)*(1/2^4))+(MID(B16,17,1)*(1/2^5))+(MID(B16,18,1)*(1/2^6))+(MID(B16,19,1)*(1/2^7))+(MID(B16,20,1)*(1/2^8))+(MID(B16,21,1)*(1/2^9))+(MID(B16,22,1)*(1/2^10))</f>
        <v>0.234375</v>
      </c>
      <c r="E16" s="40">
        <f>(MID(B16,23,1)*(1/2^11))+(MID(B16,24,1)*(1/2^12))+(MID(B16,25,1)*(1/2^13))+(MID(B16,26,1)*(1/2^14))+(MID(B16,27,1)*(1/2^15))+(MID(B16,28,1)*(1/2^16))+(MID(B16,29,1)*(1/2^17))+(MID(B16,30,1)*(1/2^18))+(MID(B16,31,1)*(1/2^19))+(MID(B16,32,1)*(1/2^20))</f>
        <v>0.0001926422119140625</v>
      </c>
      <c r="F16" s="40">
        <f>(MID(B16,33,1)*(1/2^21))+(MID(B16,34,1)*(1/2^22))+(MID(B16,35,1)*(1/2^23))+(MID(B16,36,1)*(1/2^24))+(MID(B16,37,1)*(1/2^25))+(MID(B16,38,1)*(1/2^26))+(MID(B16,39,1)*(1/2^27))+(MID(B16,40,1)*(1/2^28))+(MID(B16,41,1)*(1/2^29))+(MID(B16,42,1)*(1/2^30))</f>
        <v>1.5739351511001587E-07</v>
      </c>
      <c r="G16" s="40">
        <f>(MID(B16,43,1)*(1/2^31))+(MID(B16,44,1)*(1/2^32))+(MID(B16,45,1)*(1/2^33))+(MID(B16,46,1)*(1/2^34))+(MID(B16,47,1)*(1/2^35))+(MID(B16,48,1)*(1/2^36))+(MID(B16,49,1)*(1/2^37))+(MID(B16,50,1)*(1/2^38))+(MID(B16,51,1)*(1/2^39))+(MID(B16,52,1)*(1/2^40))</f>
        <v>3.9381120586767793E-10</v>
      </c>
      <c r="H16" s="40">
        <f>(MID(B16,53,1)*(1/2^41))+(MID(B16,54,1)*(1/2^42))+(MID(B16,55,1)*(1/2^43))+(MID(B16,56,1)*(1/2^44))+(MID(B16,57,1)*(1/2^45))+(MID(B16,58,1)*(1/2^46))+(MID(B16,59,1)*(1/2^47))+(MID(B16,60,1)*(1/2^48))+(MID(B16,61,1)*(1/2^49))+(MID(B16,62,1)*(1/2^50))</f>
        <v>7.593925488436071E-13</v>
      </c>
      <c r="I16" s="41">
        <f>(MID(B16,63,1)*(1/2^51))+(MID(B16,64,1)*(1/2^52))</f>
        <v>2.220446049250313E-16</v>
      </c>
      <c r="J16" s="27">
        <f t="shared" si="8"/>
        <v>-1.2345678</v>
      </c>
      <c r="K16" s="31">
        <v>-1.2345678</v>
      </c>
      <c r="L16" s="36" t="str">
        <f t="shared" si="9"/>
        <v>合格</v>
      </c>
      <c r="M16" s="25" t="s">
        <v>104</v>
      </c>
      <c r="N16" s="26" t="s">
        <v>105</v>
      </c>
    </row>
    <row r="17" spans="10:14" ht="13.5">
      <c r="J17" s="27"/>
      <c r="K17" s="31"/>
      <c r="L17" s="36"/>
      <c r="M17" s="25" t="s">
        <v>106</v>
      </c>
      <c r="N17" s="26" t="s">
        <v>107</v>
      </c>
    </row>
    <row r="18" spans="1:12" ht="13.5">
      <c r="A18" s="57" t="s">
        <v>111</v>
      </c>
      <c r="B18" s="54" t="s">
        <v>71</v>
      </c>
      <c r="C18" s="55"/>
      <c r="D18" s="55"/>
      <c r="E18" s="55"/>
      <c r="F18" s="55"/>
      <c r="G18" s="55"/>
      <c r="H18" s="55"/>
      <c r="I18" s="56"/>
      <c r="J18" s="27"/>
      <c r="K18" s="31"/>
      <c r="L18" s="36"/>
    </row>
    <row r="19" spans="1:12" ht="13.5">
      <c r="A19" s="57"/>
      <c r="B19" s="54"/>
      <c r="C19" s="55"/>
      <c r="D19" s="55"/>
      <c r="E19" s="55"/>
      <c r="F19" s="55"/>
      <c r="G19" s="55"/>
      <c r="H19" s="55"/>
      <c r="I19" s="56"/>
      <c r="J19" s="27"/>
      <c r="K19" s="31"/>
      <c r="L19" s="36"/>
    </row>
    <row r="20" spans="1:12" ht="13.5">
      <c r="A20" s="57"/>
      <c r="B20" s="54"/>
      <c r="C20" s="55"/>
      <c r="D20" s="55"/>
      <c r="E20" s="55"/>
      <c r="F20" s="55"/>
      <c r="G20" s="55"/>
      <c r="H20" s="55"/>
      <c r="I20" s="56"/>
      <c r="J20" s="27"/>
      <c r="K20" s="31"/>
      <c r="L20" s="36"/>
    </row>
    <row r="21" spans="1:12" ht="13.5">
      <c r="A21" s="57"/>
      <c r="J21" s="27"/>
      <c r="K21" s="31"/>
      <c r="L21" s="36"/>
    </row>
    <row r="22" spans="1:12" ht="13.5">
      <c r="A22" s="57"/>
      <c r="J22" s="27"/>
      <c r="K22" s="31"/>
      <c r="L22" s="36"/>
    </row>
    <row r="23" spans="1:12" ht="13.5">
      <c r="A23" s="57"/>
      <c r="J23" s="27"/>
      <c r="K23" s="31"/>
      <c r="L23" s="36"/>
    </row>
    <row r="24" spans="10:12" ht="13.5">
      <c r="J24" s="27"/>
      <c r="K24" s="31"/>
      <c r="L24" s="36"/>
    </row>
  </sheetData>
  <mergeCells count="4">
    <mergeCell ref="D1:I1"/>
    <mergeCell ref="B18:I20"/>
    <mergeCell ref="A18:A23"/>
    <mergeCell ref="M1:N1"/>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2"/>
  <sheetViews>
    <sheetView workbookViewId="0" topLeftCell="A1">
      <selection activeCell="K7" sqref="K7"/>
    </sheetView>
  </sheetViews>
  <sheetFormatPr defaultColWidth="9.00390625" defaultRowHeight="13.5"/>
  <cols>
    <col min="1" max="1" width="10.50390625" style="0" bestFit="1" customWidth="1"/>
    <col min="2" max="2" width="41.125" style="0" customWidth="1"/>
  </cols>
  <sheetData>
    <row r="1" spans="1:2" ht="13.5">
      <c r="A1" s="24" t="s">
        <v>114</v>
      </c>
      <c r="B1" s="24" t="s">
        <v>115</v>
      </c>
    </row>
    <row r="2" spans="1:2" ht="13.5">
      <c r="A2" s="42">
        <v>41328</v>
      </c>
      <c r="B2" t="s">
        <v>113</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sakura87</dc:creator>
  <cp:keywords/>
  <dc:description/>
  <cp:lastModifiedBy>sakura87</cp:lastModifiedBy>
  <cp:lastPrinted>2013-02-17T12:32:13Z</cp:lastPrinted>
  <dcterms:created xsi:type="dcterms:W3CDTF">2013-02-17T11:31:46Z</dcterms:created>
  <dcterms:modified xsi:type="dcterms:W3CDTF">2013-02-23T08:28:06Z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